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pauley\Documents\SARE\"/>
    </mc:Choice>
  </mc:AlternateContent>
  <bookViews>
    <workbookView xWindow="0" yWindow="0" windowWidth="28800" windowHeight="12435" tabRatio="500" activeTab="5"/>
  </bookViews>
  <sheets>
    <sheet name="2009" sheetId="4" r:id="rId1"/>
    <sheet name="2010" sheetId="5" r:id="rId2"/>
    <sheet name="2013" sheetId="3" r:id="rId3"/>
    <sheet name="2014" sheetId="6" r:id="rId4"/>
    <sheet name="2015" sheetId="2" r:id="rId5"/>
    <sheet name="2016" sheetId="1" r:id="rId6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6" l="1"/>
  <c r="F32" i="6" s="1"/>
  <c r="F21" i="6"/>
  <c r="F30" i="6"/>
  <c r="E11" i="6"/>
  <c r="E32" i="6" s="1"/>
  <c r="E21" i="6"/>
  <c r="E30" i="6"/>
  <c r="C21" i="6"/>
  <c r="E37" i="5"/>
  <c r="E24" i="5"/>
  <c r="C43" i="5"/>
  <c r="D47" i="5" s="1"/>
  <c r="D50" i="5" s="1"/>
  <c r="E47" i="5"/>
  <c r="E50" i="5" s="1"/>
  <c r="C47" i="5"/>
  <c r="C50" i="5" s="1"/>
  <c r="H24" i="5"/>
  <c r="I24" i="5" s="1"/>
  <c r="D43" i="5" s="1"/>
  <c r="H37" i="5"/>
  <c r="E43" i="5"/>
  <c r="I37" i="5"/>
  <c r="H35" i="5"/>
  <c r="H32" i="5"/>
  <c r="H28" i="5"/>
  <c r="H23" i="5"/>
  <c r="I23" i="5"/>
  <c r="H22" i="5"/>
  <c r="I22" i="5"/>
  <c r="H21" i="5"/>
  <c r="I21" i="5"/>
  <c r="H20" i="5"/>
  <c r="I20" i="5"/>
  <c r="H19" i="5"/>
  <c r="I19" i="5"/>
  <c r="H18" i="5"/>
  <c r="I18" i="5"/>
  <c r="H17" i="5"/>
  <c r="I17" i="5"/>
  <c r="H16" i="5"/>
  <c r="I16" i="5"/>
  <c r="H15" i="5"/>
  <c r="I15" i="5"/>
  <c r="H14" i="5"/>
  <c r="I14" i="5"/>
  <c r="H13" i="5"/>
  <c r="I13" i="5"/>
  <c r="H12" i="5"/>
  <c r="I12" i="5"/>
  <c r="H11" i="5"/>
  <c r="I11" i="5"/>
  <c r="H10" i="5"/>
  <c r="I10" i="5"/>
  <c r="H9" i="5"/>
  <c r="I9" i="5"/>
  <c r="H8" i="5"/>
  <c r="I8" i="5"/>
  <c r="H69" i="4"/>
  <c r="C69" i="4"/>
  <c r="H67" i="4"/>
  <c r="H59" i="4"/>
  <c r="H58" i="4"/>
  <c r="H57" i="4"/>
  <c r="C36" i="4"/>
  <c r="C37" i="4"/>
  <c r="C19" i="4"/>
  <c r="C34" i="4" s="1"/>
  <c r="C35" i="4" s="1"/>
  <c r="C30" i="4"/>
  <c r="C31" i="4"/>
  <c r="C28" i="4"/>
  <c r="C29" i="4" s="1"/>
  <c r="C24" i="4"/>
  <c r="C25" i="4"/>
  <c r="C23" i="4"/>
  <c r="B23" i="4"/>
  <c r="C22" i="4"/>
  <c r="J21" i="4"/>
  <c r="J20" i="4"/>
  <c r="J19" i="4"/>
  <c r="J18" i="4"/>
  <c r="J17" i="4"/>
  <c r="J16" i="4"/>
  <c r="J15" i="4"/>
  <c r="J14" i="4"/>
  <c r="C13" i="4"/>
  <c r="C14" i="4"/>
  <c r="J13" i="4"/>
  <c r="C12" i="4"/>
  <c r="D12" i="3"/>
  <c r="D28" i="3" s="1"/>
  <c r="D31" i="3" s="1"/>
  <c r="D25" i="3"/>
  <c r="D18" i="3"/>
  <c r="D29" i="3"/>
  <c r="C12" i="3"/>
  <c r="C25" i="3"/>
  <c r="C28" i="3"/>
  <c r="C31" i="3" s="1"/>
  <c r="C18" i="3"/>
  <c r="C29" i="3"/>
  <c r="F16" i="2"/>
  <c r="F43" i="2" s="1"/>
  <c r="F45" i="2" s="1"/>
  <c r="F25" i="2"/>
  <c r="F34" i="2"/>
  <c r="E16" i="2"/>
  <c r="E25" i="2"/>
  <c r="E34" i="2"/>
  <c r="E43" i="2"/>
  <c r="E45" i="2" s="1"/>
  <c r="C15" i="1"/>
  <c r="C24" i="1"/>
  <c r="C41" i="1" s="1"/>
  <c r="C33" i="1"/>
  <c r="F33" i="1"/>
  <c r="F15" i="1"/>
  <c r="F44" i="1" s="1"/>
  <c r="F24" i="1"/>
  <c r="E24" i="1"/>
  <c r="E15" i="1"/>
  <c r="E42" i="1" s="1"/>
  <c r="E44" i="1" s="1"/>
  <c r="E33" i="1"/>
  <c r="F42" i="1" l="1"/>
</calcChain>
</file>

<file path=xl/sharedStrings.xml><?xml version="1.0" encoding="utf-8"?>
<sst xmlns="http://schemas.openxmlformats.org/spreadsheetml/2006/main" count="354" uniqueCount="169">
  <si>
    <t xml:space="preserve">Dry Cottonwood Creek Ranch </t>
    <phoneticPr fontId="2" type="noConversion"/>
  </si>
  <si>
    <t>Field</t>
    <phoneticPr fontId="2" type="noConversion"/>
  </si>
  <si>
    <t>Avg. lbs/bale</t>
    <phoneticPr fontId="2" type="noConversion"/>
  </si>
  <si>
    <t>Pounds</t>
    <phoneticPr fontId="2" type="noConversion"/>
  </si>
  <si>
    <t>Tons</t>
    <phoneticPr fontId="2" type="noConversion"/>
  </si>
  <si>
    <t># of Bales</t>
    <phoneticPr fontId="2" type="noConversion"/>
  </si>
  <si>
    <t>Kidney</t>
    <phoneticPr fontId="2" type="noConversion"/>
  </si>
  <si>
    <t>First Cutting Total</t>
    <phoneticPr fontId="2" type="noConversion"/>
  </si>
  <si>
    <t>First Cutting Alfalfa</t>
    <phoneticPr fontId="2" type="noConversion"/>
  </si>
  <si>
    <t>Hay Production 2015</t>
  </si>
  <si>
    <t>Log Wagon</t>
  </si>
  <si>
    <t>2,345lbs</t>
  </si>
  <si>
    <t>No Log Wagon</t>
  </si>
  <si>
    <t>2,915 lbs</t>
  </si>
  <si>
    <t xml:space="preserve">Blue Truck </t>
  </si>
  <si>
    <t>North Cover Crop</t>
  </si>
  <si>
    <t>Bailed Date</t>
  </si>
  <si>
    <t>Barn</t>
  </si>
  <si>
    <t>Wild Hay Crop</t>
  </si>
  <si>
    <t>Horse Pasture</t>
  </si>
  <si>
    <t>East of Alvi Beck</t>
  </si>
  <si>
    <t>Calving</t>
  </si>
  <si>
    <t>Total</t>
  </si>
  <si>
    <t>Second Cutting Alfalfa</t>
  </si>
  <si>
    <t>North</t>
  </si>
  <si>
    <t>Kidney</t>
  </si>
  <si>
    <t>Total Hay Stock</t>
  </si>
  <si>
    <t>Total 2016 Production</t>
  </si>
  <si>
    <t>Leftover from 2015</t>
  </si>
  <si>
    <t xml:space="preserve">Bought Hay </t>
  </si>
  <si>
    <t>Hay Production 2016</t>
  </si>
  <si>
    <t>Assuming 25lbs/day/cow 305 total bales equates to 116 feeding days</t>
  </si>
  <si>
    <t xml:space="preserve">Dry Cottonwood Creek Ranch </t>
    <phoneticPr fontId="2" type="noConversion"/>
  </si>
  <si>
    <t>First Cutting Alfalfa</t>
    <phoneticPr fontId="2" type="noConversion"/>
  </si>
  <si>
    <t>Field</t>
    <phoneticPr fontId="2" type="noConversion"/>
  </si>
  <si>
    <t>Avg. lbs/bale</t>
    <phoneticPr fontId="2" type="noConversion"/>
  </si>
  <si>
    <t>Tons</t>
    <phoneticPr fontId="2" type="noConversion"/>
  </si>
  <si>
    <t>Kidney</t>
    <phoneticPr fontId="2" type="noConversion"/>
  </si>
  <si>
    <t>First Cutting Total</t>
    <phoneticPr fontId="2" type="noConversion"/>
  </si>
  <si>
    <t>9.3/4</t>
  </si>
  <si>
    <t>8.19/20</t>
  </si>
  <si>
    <t>Leftover from 2014</t>
  </si>
  <si>
    <t xml:space="preserve">Wild Hay </t>
  </si>
  <si>
    <t>Total 2015 Production</t>
  </si>
  <si>
    <t>Dry Cottonwood Creek Ranch</t>
    <phoneticPr fontId="2" type="noConversion"/>
  </si>
  <si>
    <t>Hay Production 2013</t>
    <phoneticPr fontId="2" type="noConversion"/>
  </si>
  <si>
    <t>First Cutting Alfalfa - 96 acres</t>
    <phoneticPr fontId="2" type="noConversion"/>
  </si>
  <si>
    <t>Field</t>
    <phoneticPr fontId="2" type="noConversion"/>
  </si>
  <si>
    <t>Avg. lb/bale</t>
    <phoneticPr fontId="2" type="noConversion"/>
  </si>
  <si>
    <t>Pounds</t>
    <phoneticPr fontId="2" type="noConversion"/>
  </si>
  <si>
    <t>Tons</t>
    <phoneticPr fontId="2" type="noConversion"/>
  </si>
  <si>
    <t>N. Alfalfa</t>
    <phoneticPr fontId="2" type="noConversion"/>
  </si>
  <si>
    <t xml:space="preserve">      sm. bales</t>
    <phoneticPr fontId="2" type="noConversion"/>
  </si>
  <si>
    <t>Kidney</t>
    <phoneticPr fontId="2" type="noConversion"/>
  </si>
  <si>
    <t>Barn</t>
    <phoneticPr fontId="2" type="noConversion"/>
  </si>
  <si>
    <t>total</t>
    <phoneticPr fontId="2" type="noConversion"/>
  </si>
  <si>
    <t>First Cutting Wild Hay - 103 acres</t>
    <phoneticPr fontId="2" type="noConversion"/>
  </si>
  <si>
    <t>N. Wild Hay</t>
    <phoneticPr fontId="2" type="noConversion"/>
  </si>
  <si>
    <t>Wild Hay</t>
    <phoneticPr fontId="2" type="noConversion"/>
  </si>
  <si>
    <t xml:space="preserve">Second Cutting Alfalfa - approx 50 acres </t>
    <phoneticPr fontId="2" type="noConversion"/>
  </si>
  <si>
    <t xml:space="preserve">N. Alfalfa </t>
    <phoneticPr fontId="2" type="noConversion"/>
  </si>
  <si>
    <t>TOTAL - Alfalfa</t>
    <phoneticPr fontId="2" type="noConversion"/>
  </si>
  <si>
    <t>TOTAL - Wild Hay</t>
    <phoneticPr fontId="2" type="noConversion"/>
  </si>
  <si>
    <t xml:space="preserve">TOTAL PRODUCTION </t>
    <phoneticPr fontId="2" type="noConversion"/>
  </si>
  <si>
    <t>Hay Ledger</t>
    <phoneticPr fontId="2" type="noConversion"/>
  </si>
  <si>
    <t xml:space="preserve">Date </t>
    <phoneticPr fontId="2" type="noConversion"/>
  </si>
  <si>
    <t>Stack Type</t>
    <phoneticPr fontId="2" type="noConversion"/>
  </si>
  <si>
    <t xml:space="preserve">Bales </t>
    <phoneticPr fontId="2" type="noConversion"/>
  </si>
  <si>
    <t xml:space="preserve">Location </t>
    <phoneticPr fontId="2" type="noConversion"/>
  </si>
  <si>
    <t>Estimated Bale Weight:</t>
    <phoneticPr fontId="2" type="noConversion"/>
  </si>
  <si>
    <t xml:space="preserve">Wild Grass </t>
    <phoneticPr fontId="2" type="noConversion"/>
  </si>
  <si>
    <t>Northermost Yard</t>
    <phoneticPr fontId="2" type="noConversion"/>
  </si>
  <si>
    <t>Wild Grass</t>
    <phoneticPr fontId="2" type="noConversion"/>
  </si>
  <si>
    <t>Slough Ditch Yard</t>
    <phoneticPr fontId="2" type="noConversion"/>
  </si>
  <si>
    <t>2nd Cutting Alfalfa</t>
    <phoneticPr fontId="2" type="noConversion"/>
  </si>
  <si>
    <t>Barn Yard</t>
    <phoneticPr fontId="2" type="noConversion"/>
  </si>
  <si>
    <t>1st Cutting Alfalfa</t>
    <phoneticPr fontId="2" type="noConversion"/>
  </si>
  <si>
    <t>Wild Grass</t>
    <phoneticPr fontId="2" type="noConversion"/>
  </si>
  <si>
    <t>Oat/First Year Alfalfa</t>
    <phoneticPr fontId="2" type="noConversion"/>
  </si>
  <si>
    <t>Total Reserve on 12/9:</t>
    <phoneticPr fontId="2" type="noConversion"/>
  </si>
  <si>
    <t>Pounds</t>
    <phoneticPr fontId="2" type="noConversion"/>
  </si>
  <si>
    <t>US Tons</t>
    <phoneticPr fontId="2" type="noConversion"/>
  </si>
  <si>
    <t>Stock Totals:</t>
    <phoneticPr fontId="2" type="noConversion"/>
  </si>
  <si>
    <t>cows</t>
    <phoneticPr fontId="2" type="noConversion"/>
  </si>
  <si>
    <t>heifers</t>
    <phoneticPr fontId="2" type="noConversion"/>
  </si>
  <si>
    <t>bulls</t>
    <phoneticPr fontId="2" type="noConversion"/>
  </si>
  <si>
    <t xml:space="preserve">Total Animals </t>
    <phoneticPr fontId="2" type="noConversion"/>
  </si>
  <si>
    <t>Consumption rate at:</t>
    <phoneticPr fontId="2" type="noConversion"/>
  </si>
  <si>
    <t>Pounds/Animal/Day</t>
    <phoneticPr fontId="2" type="noConversion"/>
  </si>
  <si>
    <t>=</t>
    <phoneticPr fontId="2" type="noConversion"/>
  </si>
  <si>
    <t>Pounds/Day for herd</t>
    <phoneticPr fontId="2" type="noConversion"/>
  </si>
  <si>
    <t>Bales/Day</t>
    <phoneticPr fontId="2" type="noConversion"/>
  </si>
  <si>
    <t xml:space="preserve">Possible feeding days </t>
    <phoneticPr fontId="2" type="noConversion"/>
  </si>
  <si>
    <t>Possible feeding months</t>
    <phoneticPr fontId="2" type="noConversion"/>
  </si>
  <si>
    <t>Pound/Animal/Day</t>
    <phoneticPr fontId="2" type="noConversion"/>
  </si>
  <si>
    <t>Pounds/Day for herd</t>
    <phoneticPr fontId="2" type="noConversion"/>
  </si>
  <si>
    <t>Bales/Day</t>
    <phoneticPr fontId="2" type="noConversion"/>
  </si>
  <si>
    <t>=</t>
    <phoneticPr fontId="2" type="noConversion"/>
  </si>
  <si>
    <t>Possible Feeding days</t>
    <phoneticPr fontId="2" type="noConversion"/>
  </si>
  <si>
    <t>possible feeding months</t>
    <phoneticPr fontId="2" type="noConversion"/>
  </si>
  <si>
    <t>Bales/Day for herd</t>
    <phoneticPr fontId="2" type="noConversion"/>
  </si>
  <si>
    <t>Possible feeding days</t>
    <phoneticPr fontId="2" type="noConversion"/>
  </si>
  <si>
    <t>Weaned calves:</t>
    <phoneticPr fontId="2" type="noConversion"/>
  </si>
  <si>
    <t xml:space="preserve">9 bales grass hay </t>
    <phoneticPr fontId="2" type="noConversion"/>
  </si>
  <si>
    <t xml:space="preserve">1 bale oat hay </t>
    <phoneticPr fontId="2" type="noConversion"/>
  </si>
  <si>
    <t>11 Bales Grass Hay</t>
    <phoneticPr fontId="2" type="noConversion"/>
  </si>
  <si>
    <t>12 bales grass</t>
    <phoneticPr fontId="2" type="noConversion"/>
  </si>
  <si>
    <t>1 bale oat</t>
    <phoneticPr fontId="2" type="noConversion"/>
  </si>
  <si>
    <t>Shipped calves</t>
    <phoneticPr fontId="2" type="noConversion"/>
  </si>
  <si>
    <t>Remaining Totals:</t>
    <phoneticPr fontId="2" type="noConversion"/>
  </si>
  <si>
    <t>Fed Totals:</t>
    <phoneticPr fontId="2" type="noConversion"/>
  </si>
  <si>
    <t>Wild Grass</t>
  </si>
  <si>
    <t>Northermost Yard</t>
  </si>
  <si>
    <t>Slough Ditch Yard</t>
  </si>
  <si>
    <t>2nd Cutting Alfalfa</t>
  </si>
  <si>
    <t>Barn Yard</t>
  </si>
  <si>
    <t>1st Cutting Alfalfa</t>
  </si>
  <si>
    <t>Oat/First Year Alfalfa</t>
  </si>
  <si>
    <t>Total Remaining Hay</t>
    <phoneticPr fontId="2" type="noConversion"/>
  </si>
  <si>
    <t xml:space="preserve">Total Consumed Hay: </t>
    <phoneticPr fontId="2" type="noConversion"/>
  </si>
  <si>
    <t>Feeding Days at present rate:</t>
    <phoneticPr fontId="2" type="noConversion"/>
  </si>
  <si>
    <t>Rate of Consumption For Cows and Calves: December 15 2009 - Jan 2010</t>
    <phoneticPr fontId="2" type="noConversion"/>
  </si>
  <si>
    <t xml:space="preserve">Rate: </t>
    <phoneticPr fontId="2" type="noConversion"/>
  </si>
  <si>
    <t xml:space="preserve">Bales </t>
    <phoneticPr fontId="2" type="noConversion"/>
  </si>
  <si>
    <t>Remaining Bales</t>
    <phoneticPr fontId="2" type="noConversion"/>
  </si>
  <si>
    <t>Days</t>
    <phoneticPr fontId="2" type="noConversion"/>
  </si>
  <si>
    <t>Feeding Days</t>
    <phoneticPr fontId="2" type="noConversion"/>
  </si>
  <si>
    <t>Bales/Day:</t>
    <phoneticPr fontId="2" type="noConversion"/>
  </si>
  <si>
    <t>"Run out day"</t>
    <phoneticPr fontId="2" type="noConversion"/>
  </si>
  <si>
    <t xml:space="preserve">May 4th </t>
    <phoneticPr fontId="2" type="noConversion"/>
  </si>
  <si>
    <t>2010 Hay Ledger</t>
    <phoneticPr fontId="2" type="noConversion"/>
  </si>
  <si>
    <t>Counted 8/2/10 and 12/10/10</t>
    <phoneticPr fontId="2" type="noConversion"/>
  </si>
  <si>
    <t>Round Bales: barnyard</t>
    <phoneticPr fontId="2" type="noConversion"/>
  </si>
  <si>
    <t>Row (Counting westward from Eastside Road</t>
    <phoneticPr fontId="2" type="noConversion"/>
  </si>
  <si>
    <t>type</t>
    <phoneticPr fontId="2" type="noConversion"/>
  </si>
  <si>
    <t>cutting</t>
    <phoneticPr fontId="2" type="noConversion"/>
  </si>
  <si>
    <t>#of Good Bales</t>
    <phoneticPr fontId="2" type="noConversion"/>
  </si>
  <si>
    <t># of Broken Bales</t>
    <phoneticPr fontId="2" type="noConversion"/>
  </si>
  <si>
    <t>weight per bale</t>
    <phoneticPr fontId="2" type="noConversion"/>
  </si>
  <si>
    <t>total pounds</t>
    <phoneticPr fontId="2" type="noConversion"/>
  </si>
  <si>
    <t>Total tons</t>
    <phoneticPr fontId="2" type="noConversion"/>
  </si>
  <si>
    <t>Pasture of origin</t>
    <phoneticPr fontId="2" type="noConversion"/>
  </si>
  <si>
    <t>1st</t>
    <phoneticPr fontId="2" type="noConversion"/>
  </si>
  <si>
    <t>alfalfa</t>
    <phoneticPr fontId="2" type="noConversion"/>
  </si>
  <si>
    <t xml:space="preserve">Horse/Alfalfa </t>
    <phoneticPr fontId="2" type="noConversion"/>
  </si>
  <si>
    <t>Total Round bales</t>
    <phoneticPr fontId="2" type="noConversion"/>
  </si>
  <si>
    <t>Square bales: barnyard</t>
    <phoneticPr fontId="2" type="noConversion"/>
  </si>
  <si>
    <t>Row</t>
    <phoneticPr fontId="2" type="noConversion"/>
  </si>
  <si>
    <t>2nd</t>
    <phoneticPr fontId="2" type="noConversion"/>
  </si>
  <si>
    <t>Barn Alfalfa</t>
    <phoneticPr fontId="2" type="noConversion"/>
  </si>
  <si>
    <t>Square bales: south stack yard</t>
    <phoneticPr fontId="2" type="noConversion"/>
  </si>
  <si>
    <t>grass</t>
    <phoneticPr fontId="2" type="noConversion"/>
  </si>
  <si>
    <t xml:space="preserve">Wild Hay North of Alvi Beck </t>
    <phoneticPr fontId="2" type="noConversion"/>
  </si>
  <si>
    <t>Square bales: north stack yard</t>
    <phoneticPr fontId="2" type="noConversion"/>
  </si>
  <si>
    <t>Wild Hay North of Alvi Beck</t>
    <phoneticPr fontId="2" type="noConversion"/>
  </si>
  <si>
    <t>Total square bales</t>
    <phoneticPr fontId="2" type="noConversion"/>
  </si>
  <si>
    <t>Bales</t>
    <phoneticPr fontId="2" type="noConversion"/>
  </si>
  <si>
    <t>Tons</t>
    <phoneticPr fontId="2" type="noConversion"/>
  </si>
  <si>
    <t>Total Hay</t>
    <phoneticPr fontId="2" type="noConversion"/>
  </si>
  <si>
    <t>Total feeding days at:</t>
    <phoneticPr fontId="2" type="noConversion"/>
  </si>
  <si>
    <t>2 bales/day</t>
    <phoneticPr fontId="2" type="noConversion"/>
  </si>
  <si>
    <t>2.5 bales/day</t>
    <phoneticPr fontId="2" type="noConversion"/>
  </si>
  <si>
    <t>3 bales/day</t>
    <phoneticPr fontId="2" type="noConversion"/>
  </si>
  <si>
    <t>Total feeding months at:</t>
    <phoneticPr fontId="2" type="noConversion"/>
  </si>
  <si>
    <t>Hay Production 2014</t>
    <phoneticPr fontId="2" type="noConversion"/>
  </si>
  <si>
    <t>North</t>
    <phoneticPr fontId="2" type="noConversion"/>
  </si>
  <si>
    <t>Barn</t>
    <phoneticPr fontId="2" type="noConversion"/>
  </si>
  <si>
    <t>e.side</t>
  </si>
  <si>
    <t xml:space="preserve">w.side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</si>
</sst>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Verdana"/>
    </font>
    <font>
      <b/>
      <sz val="10"/>
      <name val="Verdana"/>
    </font>
    <font>
      <sz val="8"/>
      <name val="Verdana"/>
    </font>
    <font>
      <sz val="14"/>
      <name val="Verdana"/>
    </font>
    <font>
      <b/>
      <sz val="1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u/>
      <sz val="12"/>
      <name val="Verdana"/>
    </font>
    <font>
      <b/>
      <sz val="13"/>
      <name val="Verdana"/>
    </font>
    <font>
      <sz val="13"/>
      <name val="Verdana"/>
    </font>
    <font>
      <sz val="10"/>
      <color indexed="207"/>
      <name val="Verdana"/>
    </font>
    <font>
      <b/>
      <sz val="14"/>
      <name val="Verdana"/>
    </font>
    <font>
      <b/>
      <sz val="12"/>
      <name val="Verdan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0" fillId="0" borderId="1" xfId="0" applyBorder="1"/>
    <xf numFmtId="0" fontId="8" fillId="0" borderId="0" xfId="0" applyFont="1"/>
    <xf numFmtId="3" fontId="8" fillId="0" borderId="0" xfId="0" applyNumberFormat="1" applyFont="1"/>
    <xf numFmtId="0" fontId="0" fillId="0" borderId="2" xfId="0" applyBorder="1"/>
    <xf numFmtId="0" fontId="0" fillId="0" borderId="2" xfId="0" applyBorder="1" applyAlignment="1">
      <alignment horizontal="center" vertical="center"/>
    </xf>
    <xf numFmtId="3" fontId="0" fillId="0" borderId="2" xfId="0" applyNumberFormat="1" applyBorder="1"/>
    <xf numFmtId="0" fontId="1" fillId="0" borderId="2" xfId="0" applyFont="1" applyBorder="1"/>
    <xf numFmtId="3" fontId="1" fillId="0" borderId="2" xfId="0" applyNumberFormat="1" applyFont="1" applyBorder="1"/>
    <xf numFmtId="16" fontId="0" fillId="0" borderId="2" xfId="0" applyNumberFormat="1" applyBorder="1" applyAlignment="1">
      <alignment horizontal="right"/>
    </xf>
    <xf numFmtId="16" fontId="0" fillId="0" borderId="2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8" fillId="0" borderId="2" xfId="0" applyFont="1" applyBorder="1"/>
    <xf numFmtId="3" fontId="8" fillId="0" borderId="2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3" fontId="0" fillId="0" borderId="0" xfId="0" applyNumberFormat="1" applyAlignment="1"/>
    <xf numFmtId="0" fontId="0" fillId="0" borderId="3" xfId="0" applyBorder="1"/>
    <xf numFmtId="1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16" fontId="0" fillId="0" borderId="0" xfId="0" applyNumberFormat="1"/>
    <xf numFmtId="0" fontId="10" fillId="0" borderId="0" xfId="0" applyFont="1"/>
    <xf numFmtId="0" fontId="0" fillId="0" borderId="7" xfId="0" applyBorder="1"/>
    <xf numFmtId="0" fontId="0" fillId="0" borderId="8" xfId="0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J36" sqref="J36"/>
    </sheetView>
  </sheetViews>
  <sheetFormatPr defaultColWidth="11" defaultRowHeight="12.75" x14ac:dyDescent="0.2"/>
  <sheetData>
    <row r="1" spans="1:10" x14ac:dyDescent="0.2">
      <c r="A1" t="s">
        <v>64</v>
      </c>
    </row>
    <row r="3" spans="1:10" ht="13.5" thickBot="1" x14ac:dyDescent="0.25">
      <c r="A3" s="38" t="s">
        <v>65</v>
      </c>
      <c r="B3" s="38" t="s">
        <v>66</v>
      </c>
      <c r="C3" s="38" t="s">
        <v>67</v>
      </c>
      <c r="D3" s="38" t="s">
        <v>68</v>
      </c>
      <c r="E3" s="38" t="s">
        <v>69</v>
      </c>
      <c r="F3" s="38"/>
    </row>
    <row r="4" spans="1:10" ht="13.5" thickTop="1" x14ac:dyDescent="0.2">
      <c r="A4" s="39">
        <v>38694</v>
      </c>
      <c r="B4" t="s">
        <v>70</v>
      </c>
      <c r="C4">
        <v>60</v>
      </c>
      <c r="D4" t="s">
        <v>71</v>
      </c>
      <c r="E4">
        <v>1500</v>
      </c>
    </row>
    <row r="5" spans="1:10" x14ac:dyDescent="0.2">
      <c r="A5" s="39">
        <v>38694</v>
      </c>
      <c r="B5" t="s">
        <v>72</v>
      </c>
      <c r="C5">
        <v>64</v>
      </c>
      <c r="D5" t="s">
        <v>73</v>
      </c>
      <c r="E5">
        <v>1500</v>
      </c>
    </row>
    <row r="6" spans="1:10" x14ac:dyDescent="0.2">
      <c r="A6" s="39">
        <v>38694</v>
      </c>
      <c r="B6" t="s">
        <v>74</v>
      </c>
      <c r="C6">
        <v>21</v>
      </c>
      <c r="D6" t="s">
        <v>75</v>
      </c>
      <c r="E6">
        <v>1500</v>
      </c>
    </row>
    <row r="7" spans="1:10" x14ac:dyDescent="0.2">
      <c r="A7" s="39">
        <v>38694</v>
      </c>
      <c r="B7" t="s">
        <v>76</v>
      </c>
      <c r="C7">
        <v>52</v>
      </c>
      <c r="D7" t="s">
        <v>75</v>
      </c>
      <c r="E7">
        <v>1500</v>
      </c>
    </row>
    <row r="8" spans="1:10" x14ac:dyDescent="0.2">
      <c r="A8" s="39">
        <v>38694</v>
      </c>
      <c r="B8" t="s">
        <v>77</v>
      </c>
      <c r="C8">
        <v>90</v>
      </c>
      <c r="D8" t="s">
        <v>75</v>
      </c>
      <c r="E8">
        <v>1500</v>
      </c>
    </row>
    <row r="9" spans="1:10" x14ac:dyDescent="0.2">
      <c r="A9" s="39">
        <v>38694</v>
      </c>
      <c r="B9" t="s">
        <v>78</v>
      </c>
      <c r="C9">
        <v>64</v>
      </c>
      <c r="D9" t="s">
        <v>75</v>
      </c>
      <c r="E9">
        <v>1500</v>
      </c>
    </row>
    <row r="10" spans="1:10" x14ac:dyDescent="0.2">
      <c r="A10" s="39">
        <v>38694</v>
      </c>
      <c r="B10" t="s">
        <v>77</v>
      </c>
      <c r="C10">
        <v>40</v>
      </c>
      <c r="D10" t="s">
        <v>75</v>
      </c>
      <c r="E10">
        <v>1500</v>
      </c>
    </row>
    <row r="11" spans="1:10" ht="13.5" thickBot="1" x14ac:dyDescent="0.25">
      <c r="A11" s="39"/>
    </row>
    <row r="12" spans="1:10" ht="13.5" thickBot="1" x14ac:dyDescent="0.25">
      <c r="B12" s="40" t="s">
        <v>79</v>
      </c>
      <c r="C12" s="41">
        <f>SUM(C4:C10)</f>
        <v>391</v>
      </c>
      <c r="D12" t="s">
        <v>67</v>
      </c>
    </row>
    <row r="13" spans="1:10" x14ac:dyDescent="0.2">
      <c r="C13">
        <f>391*1500</f>
        <v>586500</v>
      </c>
      <c r="D13" t="s">
        <v>80</v>
      </c>
      <c r="J13">
        <f>136*0.01</f>
        <v>1.36</v>
      </c>
    </row>
    <row r="14" spans="1:10" x14ac:dyDescent="0.2">
      <c r="C14">
        <f>C13/2000</f>
        <v>293.25</v>
      </c>
      <c r="D14" t="s">
        <v>81</v>
      </c>
      <c r="J14">
        <f>134*0.08</f>
        <v>10.72</v>
      </c>
    </row>
    <row r="15" spans="1:10" x14ac:dyDescent="0.2">
      <c r="J15">
        <f>14*0.08</f>
        <v>1.1200000000000001</v>
      </c>
    </row>
    <row r="16" spans="1:10" x14ac:dyDescent="0.2">
      <c r="B16" t="s">
        <v>82</v>
      </c>
      <c r="C16">
        <v>136</v>
      </c>
      <c r="D16" t="s">
        <v>83</v>
      </c>
      <c r="J16">
        <f>123*0.1</f>
        <v>12.3</v>
      </c>
    </row>
    <row r="17" spans="2:10" x14ac:dyDescent="0.2">
      <c r="C17">
        <v>15</v>
      </c>
      <c r="D17" t="s">
        <v>84</v>
      </c>
      <c r="J17">
        <f>111*0.1</f>
        <v>11.100000000000001</v>
      </c>
    </row>
    <row r="18" spans="2:10" x14ac:dyDescent="0.2">
      <c r="C18">
        <v>6</v>
      </c>
      <c r="D18" t="s">
        <v>85</v>
      </c>
      <c r="J18">
        <f>14*0.25</f>
        <v>3.5</v>
      </c>
    </row>
    <row r="19" spans="2:10" ht="13.5" thickBot="1" x14ac:dyDescent="0.25">
      <c r="C19" s="42">
        <f>SUM(C16:C18)</f>
        <v>157</v>
      </c>
      <c r="D19" s="42" t="s">
        <v>86</v>
      </c>
      <c r="J19">
        <f>123+13</f>
        <v>136</v>
      </c>
    </row>
    <row r="20" spans="2:10" x14ac:dyDescent="0.2">
      <c r="C20" s="43"/>
      <c r="D20" s="43"/>
      <c r="J20">
        <f>136+15+15+6</f>
        <v>172</v>
      </c>
    </row>
    <row r="21" spans="2:10" x14ac:dyDescent="0.2">
      <c r="B21" t="s">
        <v>87</v>
      </c>
      <c r="C21" s="44">
        <v>25</v>
      </c>
      <c r="D21" s="44" t="s">
        <v>88</v>
      </c>
      <c r="J21">
        <f>136/172</f>
        <v>0.79069767441860461</v>
      </c>
    </row>
    <row r="22" spans="2:10" x14ac:dyDescent="0.2">
      <c r="B22" t="s">
        <v>89</v>
      </c>
      <c r="C22">
        <f>157*25</f>
        <v>3925</v>
      </c>
      <c r="D22" t="s">
        <v>90</v>
      </c>
    </row>
    <row r="23" spans="2:10" x14ac:dyDescent="0.2">
      <c r="B23" t="str">
        <f>B22</f>
        <v>=</v>
      </c>
      <c r="C23">
        <f>3925/1500</f>
        <v>2.6166666666666667</v>
      </c>
      <c r="D23" t="s">
        <v>91</v>
      </c>
    </row>
    <row r="24" spans="2:10" x14ac:dyDescent="0.2">
      <c r="B24" t="s">
        <v>89</v>
      </c>
      <c r="C24">
        <f>391/2.61</f>
        <v>149.80842911877394</v>
      </c>
      <c r="D24" t="s">
        <v>92</v>
      </c>
    </row>
    <row r="25" spans="2:10" x14ac:dyDescent="0.2">
      <c r="C25">
        <f>C24/31</f>
        <v>4.8325299715733534</v>
      </c>
      <c r="D25" t="s">
        <v>93</v>
      </c>
    </row>
    <row r="27" spans="2:10" x14ac:dyDescent="0.2">
      <c r="C27">
        <v>20</v>
      </c>
      <c r="D27" t="s">
        <v>94</v>
      </c>
    </row>
    <row r="28" spans="2:10" x14ac:dyDescent="0.2">
      <c r="B28" t="s">
        <v>89</v>
      </c>
      <c r="C28">
        <f>20*157</f>
        <v>3140</v>
      </c>
      <c r="D28" t="s">
        <v>95</v>
      </c>
    </row>
    <row r="29" spans="2:10" x14ac:dyDescent="0.2">
      <c r="B29" t="s">
        <v>89</v>
      </c>
      <c r="C29">
        <f>C28/1500</f>
        <v>2.0933333333333333</v>
      </c>
      <c r="D29" t="s">
        <v>96</v>
      </c>
    </row>
    <row r="30" spans="2:10" x14ac:dyDescent="0.2">
      <c r="B30" t="s">
        <v>97</v>
      </c>
      <c r="C30">
        <f>391/2.09</f>
        <v>187.08133971291866</v>
      </c>
      <c r="D30" t="s">
        <v>98</v>
      </c>
    </row>
    <row r="31" spans="2:10" x14ac:dyDescent="0.2">
      <c r="C31">
        <f>C30/31</f>
        <v>6.034881926223183</v>
      </c>
      <c r="D31" t="s">
        <v>99</v>
      </c>
    </row>
    <row r="33" spans="1:4" x14ac:dyDescent="0.2">
      <c r="C33">
        <v>30</v>
      </c>
      <c r="D33" t="s">
        <v>88</v>
      </c>
    </row>
    <row r="34" spans="1:4" x14ac:dyDescent="0.2">
      <c r="B34" t="s">
        <v>89</v>
      </c>
      <c r="C34">
        <f>30*C19</f>
        <v>4710</v>
      </c>
      <c r="D34" t="s">
        <v>90</v>
      </c>
    </row>
    <row r="35" spans="1:4" x14ac:dyDescent="0.2">
      <c r="B35" t="s">
        <v>89</v>
      </c>
      <c r="C35">
        <f>C34/1500</f>
        <v>3.14</v>
      </c>
      <c r="D35" t="s">
        <v>100</v>
      </c>
    </row>
    <row r="36" spans="1:4" x14ac:dyDescent="0.2">
      <c r="B36" t="s">
        <v>89</v>
      </c>
      <c r="C36">
        <f>391/3.14</f>
        <v>124.52229299363057</v>
      </c>
      <c r="D36" t="s">
        <v>101</v>
      </c>
    </row>
    <row r="37" spans="1:4" x14ac:dyDescent="0.2">
      <c r="C37">
        <f>C36/31</f>
        <v>4.016848161084857</v>
      </c>
      <c r="D37" t="s">
        <v>93</v>
      </c>
    </row>
    <row r="40" spans="1:4" x14ac:dyDescent="0.2">
      <c r="A40" s="45">
        <v>38700</v>
      </c>
      <c r="B40" t="s">
        <v>102</v>
      </c>
    </row>
    <row r="41" spans="1:4" x14ac:dyDescent="0.2">
      <c r="B41" t="s">
        <v>103</v>
      </c>
    </row>
    <row r="42" spans="1:4" x14ac:dyDescent="0.2">
      <c r="B42" t="s">
        <v>104</v>
      </c>
    </row>
    <row r="43" spans="1:4" x14ac:dyDescent="0.2">
      <c r="A43" s="45">
        <v>39075</v>
      </c>
      <c r="B43" t="s">
        <v>102</v>
      </c>
    </row>
    <row r="44" spans="1:4" x14ac:dyDescent="0.2">
      <c r="A44" s="45"/>
      <c r="B44" t="s">
        <v>105</v>
      </c>
    </row>
    <row r="46" spans="1:4" x14ac:dyDescent="0.2">
      <c r="A46" s="45">
        <v>38717</v>
      </c>
      <c r="B46" t="s">
        <v>106</v>
      </c>
    </row>
    <row r="47" spans="1:4" x14ac:dyDescent="0.2">
      <c r="B47" t="s">
        <v>107</v>
      </c>
    </row>
    <row r="48" spans="1:4" x14ac:dyDescent="0.2">
      <c r="A48" s="45">
        <v>38742</v>
      </c>
      <c r="B48" t="s">
        <v>108</v>
      </c>
    </row>
    <row r="52" spans="1:10" x14ac:dyDescent="0.2">
      <c r="A52" s="45">
        <v>38743</v>
      </c>
      <c r="B52" t="s">
        <v>109</v>
      </c>
      <c r="G52" t="s">
        <v>110</v>
      </c>
    </row>
    <row r="53" spans="1:10" x14ac:dyDescent="0.2">
      <c r="B53" t="s">
        <v>70</v>
      </c>
      <c r="C53">
        <v>60</v>
      </c>
      <c r="D53" t="s">
        <v>71</v>
      </c>
      <c r="E53">
        <v>1500</v>
      </c>
      <c r="G53" t="s">
        <v>111</v>
      </c>
      <c r="H53">
        <v>0</v>
      </c>
      <c r="I53" t="s">
        <v>112</v>
      </c>
      <c r="J53">
        <v>1500</v>
      </c>
    </row>
    <row r="54" spans="1:10" x14ac:dyDescent="0.2">
      <c r="B54" t="s">
        <v>72</v>
      </c>
      <c r="C54">
        <v>64</v>
      </c>
      <c r="D54" t="s">
        <v>73</v>
      </c>
      <c r="E54">
        <v>1500</v>
      </c>
      <c r="G54" t="s">
        <v>111</v>
      </c>
      <c r="H54">
        <v>0</v>
      </c>
      <c r="I54" t="s">
        <v>113</v>
      </c>
      <c r="J54">
        <v>1500</v>
      </c>
    </row>
    <row r="55" spans="1:10" x14ac:dyDescent="0.2">
      <c r="B55" t="s">
        <v>74</v>
      </c>
      <c r="C55">
        <v>21</v>
      </c>
      <c r="D55" t="s">
        <v>75</v>
      </c>
      <c r="E55">
        <v>1500</v>
      </c>
      <c r="G55" t="s">
        <v>114</v>
      </c>
      <c r="H55">
        <v>0</v>
      </c>
      <c r="I55" t="s">
        <v>115</v>
      </c>
      <c r="J55">
        <v>1500</v>
      </c>
    </row>
    <row r="56" spans="1:10" x14ac:dyDescent="0.2">
      <c r="B56" t="s">
        <v>76</v>
      </c>
      <c r="C56">
        <v>52</v>
      </c>
      <c r="D56" t="s">
        <v>75</v>
      </c>
      <c r="E56">
        <v>1500</v>
      </c>
      <c r="G56" t="s">
        <v>116</v>
      </c>
      <c r="H56">
        <v>0</v>
      </c>
      <c r="I56" t="s">
        <v>115</v>
      </c>
      <c r="J56">
        <v>1500</v>
      </c>
    </row>
    <row r="57" spans="1:10" x14ac:dyDescent="0.2">
      <c r="B57" t="s">
        <v>77</v>
      </c>
      <c r="C57">
        <v>27</v>
      </c>
      <c r="D57" t="s">
        <v>75</v>
      </c>
      <c r="E57">
        <v>1500</v>
      </c>
      <c r="G57" t="s">
        <v>111</v>
      </c>
      <c r="H57">
        <f>90-27</f>
        <v>63</v>
      </c>
      <c r="I57" t="s">
        <v>115</v>
      </c>
      <c r="J57">
        <v>1500</v>
      </c>
    </row>
    <row r="58" spans="1:10" x14ac:dyDescent="0.2">
      <c r="B58" t="s">
        <v>78</v>
      </c>
      <c r="C58">
        <v>25</v>
      </c>
      <c r="D58" t="s">
        <v>75</v>
      </c>
      <c r="E58">
        <v>1500</v>
      </c>
      <c r="G58" t="s">
        <v>117</v>
      </c>
      <c r="H58">
        <f>64-25</f>
        <v>39</v>
      </c>
      <c r="I58" t="s">
        <v>115</v>
      </c>
      <c r="J58">
        <v>1500</v>
      </c>
    </row>
    <row r="59" spans="1:10" x14ac:dyDescent="0.2">
      <c r="B59" t="s">
        <v>77</v>
      </c>
      <c r="C59">
        <v>22</v>
      </c>
      <c r="D59" t="s">
        <v>75</v>
      </c>
      <c r="E59">
        <v>1500</v>
      </c>
      <c r="G59" t="s">
        <v>111</v>
      </c>
      <c r="H59">
        <f>40-22</f>
        <v>18</v>
      </c>
      <c r="I59" t="s">
        <v>115</v>
      </c>
      <c r="J59">
        <v>1500</v>
      </c>
    </row>
    <row r="61" spans="1:10" x14ac:dyDescent="0.2">
      <c r="B61" t="s">
        <v>118</v>
      </c>
      <c r="C61">
        <v>271</v>
      </c>
      <c r="G61" t="s">
        <v>119</v>
      </c>
      <c r="H61">
        <v>120</v>
      </c>
    </row>
    <row r="64" spans="1:10" x14ac:dyDescent="0.2">
      <c r="B64" t="s">
        <v>120</v>
      </c>
      <c r="G64" t="s">
        <v>121</v>
      </c>
    </row>
    <row r="66" spans="2:8" x14ac:dyDescent="0.2">
      <c r="B66" t="s">
        <v>122</v>
      </c>
      <c r="C66">
        <v>2.79</v>
      </c>
      <c r="G66" t="s">
        <v>123</v>
      </c>
      <c r="H66">
        <v>120</v>
      </c>
    </row>
    <row r="67" spans="2:8" x14ac:dyDescent="0.2">
      <c r="B67" t="s">
        <v>124</v>
      </c>
      <c r="C67">
        <v>271</v>
      </c>
      <c r="G67" t="s">
        <v>125</v>
      </c>
      <c r="H67">
        <f>16+27</f>
        <v>43</v>
      </c>
    </row>
    <row r="69" spans="2:8" x14ac:dyDescent="0.2">
      <c r="B69" t="s">
        <v>126</v>
      </c>
      <c r="C69">
        <f>271/2.79</f>
        <v>97.132616487455195</v>
      </c>
      <c r="G69" t="s">
        <v>127</v>
      </c>
      <c r="H69">
        <f>120/43</f>
        <v>2.7906976744186047</v>
      </c>
    </row>
    <row r="71" spans="2:8" x14ac:dyDescent="0.2">
      <c r="B71" t="s">
        <v>128</v>
      </c>
      <c r="C71" s="46" t="s">
        <v>129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K49" sqref="K49"/>
    </sheetView>
  </sheetViews>
  <sheetFormatPr defaultColWidth="11" defaultRowHeight="12.75" x14ac:dyDescent="0.2"/>
  <sheetData>
    <row r="1" spans="1:10" x14ac:dyDescent="0.2">
      <c r="A1" s="5" t="s">
        <v>130</v>
      </c>
    </row>
    <row r="3" spans="1:10" x14ac:dyDescent="0.2">
      <c r="A3" t="s">
        <v>131</v>
      </c>
    </row>
    <row r="5" spans="1:10" x14ac:dyDescent="0.2">
      <c r="A5" t="s">
        <v>132</v>
      </c>
    </row>
    <row r="6" spans="1:10" x14ac:dyDescent="0.2">
      <c r="A6" t="s">
        <v>133</v>
      </c>
      <c r="C6" t="s">
        <v>134</v>
      </c>
      <c r="D6" t="s">
        <v>135</v>
      </c>
      <c r="E6" t="s">
        <v>136</v>
      </c>
      <c r="F6" t="s">
        <v>137</v>
      </c>
      <c r="G6" t="s">
        <v>138</v>
      </c>
      <c r="H6" t="s">
        <v>139</v>
      </c>
      <c r="I6" t="s">
        <v>140</v>
      </c>
      <c r="J6" t="s">
        <v>141</v>
      </c>
    </row>
    <row r="7" spans="1:10" x14ac:dyDescent="0.2">
      <c r="D7" t="s">
        <v>142</v>
      </c>
    </row>
    <row r="8" spans="1:10" x14ac:dyDescent="0.2">
      <c r="A8">
        <v>1</v>
      </c>
      <c r="C8" t="s">
        <v>143</v>
      </c>
      <c r="D8" t="s">
        <v>142</v>
      </c>
      <c r="E8">
        <v>24</v>
      </c>
      <c r="G8">
        <v>1200</v>
      </c>
      <c r="H8">
        <f>E8*G8</f>
        <v>28800</v>
      </c>
      <c r="I8">
        <f>H8/2000</f>
        <v>14.4</v>
      </c>
      <c r="J8" t="s">
        <v>144</v>
      </c>
    </row>
    <row r="9" spans="1:10" x14ac:dyDescent="0.2">
      <c r="A9">
        <v>2</v>
      </c>
      <c r="C9" t="s">
        <v>143</v>
      </c>
      <c r="D9" t="s">
        <v>142</v>
      </c>
      <c r="E9">
        <v>24</v>
      </c>
      <c r="F9">
        <v>1</v>
      </c>
      <c r="G9">
        <v>1200</v>
      </c>
      <c r="H9">
        <f t="shared" ref="H9:H24" si="0">E9*G9</f>
        <v>28800</v>
      </c>
      <c r="I9">
        <f t="shared" ref="I9:I24" si="1">H9/2000</f>
        <v>14.4</v>
      </c>
      <c r="J9" t="s">
        <v>144</v>
      </c>
    </row>
    <row r="10" spans="1:10" x14ac:dyDescent="0.2">
      <c r="A10">
        <v>3</v>
      </c>
      <c r="C10" t="s">
        <v>143</v>
      </c>
      <c r="D10" t="s">
        <v>142</v>
      </c>
      <c r="E10">
        <v>24</v>
      </c>
      <c r="G10">
        <v>1200</v>
      </c>
      <c r="H10">
        <f t="shared" si="0"/>
        <v>28800</v>
      </c>
      <c r="I10">
        <f t="shared" si="1"/>
        <v>14.4</v>
      </c>
      <c r="J10" t="s">
        <v>144</v>
      </c>
    </row>
    <row r="11" spans="1:10" x14ac:dyDescent="0.2">
      <c r="A11">
        <v>4</v>
      </c>
      <c r="C11" t="s">
        <v>143</v>
      </c>
      <c r="D11" t="s">
        <v>142</v>
      </c>
      <c r="E11">
        <v>24</v>
      </c>
      <c r="G11">
        <v>1200</v>
      </c>
      <c r="H11">
        <f t="shared" si="0"/>
        <v>28800</v>
      </c>
      <c r="I11">
        <f t="shared" si="1"/>
        <v>14.4</v>
      </c>
      <c r="J11" t="s">
        <v>144</v>
      </c>
    </row>
    <row r="12" spans="1:10" x14ac:dyDescent="0.2">
      <c r="A12">
        <v>5</v>
      </c>
      <c r="C12" t="s">
        <v>143</v>
      </c>
      <c r="D12" t="s">
        <v>142</v>
      </c>
      <c r="E12">
        <v>24</v>
      </c>
      <c r="G12">
        <v>1200</v>
      </c>
      <c r="H12">
        <f t="shared" si="0"/>
        <v>28800</v>
      </c>
      <c r="I12">
        <f t="shared" si="1"/>
        <v>14.4</v>
      </c>
      <c r="J12" t="s">
        <v>144</v>
      </c>
    </row>
    <row r="13" spans="1:10" x14ac:dyDescent="0.2">
      <c r="A13">
        <v>6</v>
      </c>
      <c r="C13" t="s">
        <v>143</v>
      </c>
      <c r="D13" t="s">
        <v>142</v>
      </c>
      <c r="E13">
        <v>24</v>
      </c>
      <c r="G13">
        <v>1200</v>
      </c>
      <c r="H13">
        <f t="shared" si="0"/>
        <v>28800</v>
      </c>
      <c r="I13">
        <f t="shared" si="1"/>
        <v>14.4</v>
      </c>
      <c r="J13" t="s">
        <v>144</v>
      </c>
    </row>
    <row r="14" spans="1:10" x14ac:dyDescent="0.2">
      <c r="A14">
        <v>7</v>
      </c>
      <c r="C14" t="s">
        <v>143</v>
      </c>
      <c r="D14" t="s">
        <v>142</v>
      </c>
      <c r="E14">
        <v>24</v>
      </c>
      <c r="G14">
        <v>1200</v>
      </c>
      <c r="H14">
        <f t="shared" si="0"/>
        <v>28800</v>
      </c>
      <c r="I14">
        <f t="shared" si="1"/>
        <v>14.4</v>
      </c>
      <c r="J14" t="s">
        <v>144</v>
      </c>
    </row>
    <row r="15" spans="1:10" x14ac:dyDescent="0.2">
      <c r="A15">
        <v>8</v>
      </c>
      <c r="C15" t="s">
        <v>143</v>
      </c>
      <c r="D15" t="s">
        <v>142</v>
      </c>
      <c r="E15">
        <v>22</v>
      </c>
      <c r="G15">
        <v>1200</v>
      </c>
      <c r="H15">
        <f t="shared" si="0"/>
        <v>26400</v>
      </c>
      <c r="I15">
        <f t="shared" si="1"/>
        <v>13.2</v>
      </c>
      <c r="J15" t="s">
        <v>144</v>
      </c>
    </row>
    <row r="16" spans="1:10" x14ac:dyDescent="0.2">
      <c r="A16">
        <v>9</v>
      </c>
      <c r="C16" t="s">
        <v>143</v>
      </c>
      <c r="D16" t="s">
        <v>142</v>
      </c>
      <c r="E16">
        <v>10</v>
      </c>
      <c r="F16">
        <v>3</v>
      </c>
      <c r="G16">
        <v>1200</v>
      </c>
      <c r="H16">
        <f t="shared" si="0"/>
        <v>12000</v>
      </c>
      <c r="I16">
        <f t="shared" si="1"/>
        <v>6</v>
      </c>
      <c r="J16" t="s">
        <v>144</v>
      </c>
    </row>
    <row r="17" spans="1:10" x14ac:dyDescent="0.2">
      <c r="A17">
        <v>10</v>
      </c>
      <c r="C17" t="s">
        <v>143</v>
      </c>
      <c r="D17" t="s">
        <v>142</v>
      </c>
      <c r="E17">
        <v>10</v>
      </c>
      <c r="G17">
        <v>1200</v>
      </c>
      <c r="H17">
        <f t="shared" si="0"/>
        <v>12000</v>
      </c>
      <c r="I17">
        <f t="shared" si="1"/>
        <v>6</v>
      </c>
      <c r="J17" t="s">
        <v>144</v>
      </c>
    </row>
    <row r="18" spans="1:10" x14ac:dyDescent="0.2">
      <c r="A18">
        <v>11</v>
      </c>
      <c r="C18" t="s">
        <v>143</v>
      </c>
      <c r="D18" t="s">
        <v>142</v>
      </c>
      <c r="E18">
        <v>10</v>
      </c>
      <c r="G18">
        <v>1200</v>
      </c>
      <c r="H18">
        <f t="shared" si="0"/>
        <v>12000</v>
      </c>
      <c r="I18">
        <f t="shared" si="1"/>
        <v>6</v>
      </c>
      <c r="J18" t="s">
        <v>144</v>
      </c>
    </row>
    <row r="19" spans="1:10" x14ac:dyDescent="0.2">
      <c r="A19">
        <v>12</v>
      </c>
      <c r="C19" t="s">
        <v>143</v>
      </c>
      <c r="D19" t="s">
        <v>142</v>
      </c>
      <c r="E19">
        <v>3</v>
      </c>
      <c r="G19">
        <v>1200</v>
      </c>
      <c r="H19">
        <f t="shared" si="0"/>
        <v>3600</v>
      </c>
      <c r="I19">
        <f t="shared" si="1"/>
        <v>1.8</v>
      </c>
      <c r="J19" t="s">
        <v>144</v>
      </c>
    </row>
    <row r="20" spans="1:10" x14ac:dyDescent="0.2">
      <c r="A20">
        <v>13</v>
      </c>
      <c r="C20" t="s">
        <v>143</v>
      </c>
      <c r="D20" t="s">
        <v>142</v>
      </c>
      <c r="E20">
        <v>6</v>
      </c>
      <c r="G20">
        <v>1200</v>
      </c>
      <c r="H20">
        <f t="shared" si="0"/>
        <v>7200</v>
      </c>
      <c r="I20">
        <f t="shared" si="1"/>
        <v>3.6</v>
      </c>
      <c r="J20" t="s">
        <v>144</v>
      </c>
    </row>
    <row r="21" spans="1:10" x14ac:dyDescent="0.2">
      <c r="A21">
        <v>14</v>
      </c>
      <c r="C21" t="s">
        <v>143</v>
      </c>
      <c r="D21" t="s">
        <v>142</v>
      </c>
      <c r="E21">
        <v>10</v>
      </c>
      <c r="G21">
        <v>1200</v>
      </c>
      <c r="H21">
        <f t="shared" si="0"/>
        <v>12000</v>
      </c>
      <c r="I21">
        <f t="shared" si="1"/>
        <v>6</v>
      </c>
      <c r="J21" t="s">
        <v>144</v>
      </c>
    </row>
    <row r="22" spans="1:10" x14ac:dyDescent="0.2">
      <c r="A22">
        <v>15</v>
      </c>
      <c r="C22" t="s">
        <v>143</v>
      </c>
      <c r="D22" t="s">
        <v>142</v>
      </c>
      <c r="E22">
        <v>10</v>
      </c>
      <c r="G22">
        <v>1200</v>
      </c>
      <c r="H22">
        <f>E22*G22</f>
        <v>12000</v>
      </c>
      <c r="I22">
        <f t="shared" si="1"/>
        <v>6</v>
      </c>
      <c r="J22" t="s">
        <v>144</v>
      </c>
    </row>
    <row r="23" spans="1:10" ht="13.5" thickBot="1" x14ac:dyDescent="0.25">
      <c r="H23">
        <f t="shared" si="0"/>
        <v>0</v>
      </c>
      <c r="I23">
        <f t="shared" si="1"/>
        <v>0</v>
      </c>
      <c r="J23" t="s">
        <v>144</v>
      </c>
    </row>
    <row r="24" spans="1:10" ht="13.5" thickBot="1" x14ac:dyDescent="0.25">
      <c r="A24" s="40" t="s">
        <v>145</v>
      </c>
      <c r="B24" s="47"/>
      <c r="C24" s="47"/>
      <c r="D24" s="48" t="s">
        <v>142</v>
      </c>
      <c r="E24" s="41">
        <f>SUM(E8:E23)</f>
        <v>249</v>
      </c>
      <c r="F24" s="47"/>
      <c r="G24" s="47">
        <v>1200</v>
      </c>
      <c r="H24" s="48">
        <f t="shared" si="0"/>
        <v>298800</v>
      </c>
      <c r="I24" s="48">
        <f t="shared" si="1"/>
        <v>149.4</v>
      </c>
      <c r="J24" t="s">
        <v>144</v>
      </c>
    </row>
    <row r="26" spans="1:10" x14ac:dyDescent="0.2">
      <c r="A26" t="s">
        <v>146</v>
      </c>
    </row>
    <row r="27" spans="1:10" x14ac:dyDescent="0.2">
      <c r="A27" t="s">
        <v>147</v>
      </c>
      <c r="C27" t="s">
        <v>143</v>
      </c>
      <c r="D27" t="s">
        <v>148</v>
      </c>
    </row>
    <row r="28" spans="1:10" x14ac:dyDescent="0.2">
      <c r="A28">
        <v>1</v>
      </c>
      <c r="E28">
        <v>47</v>
      </c>
      <c r="G28">
        <v>1500</v>
      </c>
      <c r="H28">
        <f>E28*G28</f>
        <v>70500</v>
      </c>
      <c r="J28" t="s">
        <v>149</v>
      </c>
    </row>
    <row r="31" spans="1:10" x14ac:dyDescent="0.2">
      <c r="A31" t="s">
        <v>150</v>
      </c>
      <c r="C31" t="s">
        <v>151</v>
      </c>
      <c r="D31" t="s">
        <v>142</v>
      </c>
    </row>
    <row r="32" spans="1:10" x14ac:dyDescent="0.2">
      <c r="E32">
        <v>121</v>
      </c>
      <c r="G32">
        <v>1500</v>
      </c>
      <c r="H32">
        <f>E32*G32</f>
        <v>181500</v>
      </c>
      <c r="J32" t="s">
        <v>152</v>
      </c>
    </row>
    <row r="35" spans="1:10" x14ac:dyDescent="0.2">
      <c r="A35" t="s">
        <v>153</v>
      </c>
      <c r="C35" t="s">
        <v>151</v>
      </c>
      <c r="D35" t="s">
        <v>142</v>
      </c>
      <c r="E35">
        <v>45</v>
      </c>
      <c r="G35">
        <v>1500</v>
      </c>
      <c r="H35">
        <f>E35*G35</f>
        <v>67500</v>
      </c>
      <c r="J35" t="s">
        <v>154</v>
      </c>
    </row>
    <row r="36" spans="1:10" ht="13.5" thickBot="1" x14ac:dyDescent="0.25"/>
    <row r="37" spans="1:10" ht="13.5" thickBot="1" x14ac:dyDescent="0.25">
      <c r="A37" s="40" t="s">
        <v>155</v>
      </c>
      <c r="B37" s="47"/>
      <c r="C37" s="47"/>
      <c r="D37" s="47"/>
      <c r="E37" s="41">
        <f>SUM(E28:E36)</f>
        <v>213</v>
      </c>
      <c r="F37" s="40"/>
      <c r="G37" s="47">
        <v>1500</v>
      </c>
      <c r="H37" s="47">
        <f>E37*G37</f>
        <v>319500</v>
      </c>
      <c r="I37" s="41">
        <f>H37/2000</f>
        <v>159.75</v>
      </c>
    </row>
    <row r="42" spans="1:10" x14ac:dyDescent="0.2">
      <c r="C42" t="s">
        <v>156</v>
      </c>
      <c r="D42" t="s">
        <v>157</v>
      </c>
      <c r="E42" t="s">
        <v>3</v>
      </c>
    </row>
    <row r="43" spans="1:10" x14ac:dyDescent="0.2">
      <c r="A43" s="5" t="s">
        <v>158</v>
      </c>
      <c r="C43">
        <f>E37+E24</f>
        <v>462</v>
      </c>
      <c r="D43">
        <f>I24+I37</f>
        <v>309.14999999999998</v>
      </c>
      <c r="E43">
        <f>H24+H37</f>
        <v>618300</v>
      </c>
    </row>
    <row r="46" spans="1:10" ht="38.25" x14ac:dyDescent="0.2">
      <c r="A46" s="49" t="s">
        <v>159</v>
      </c>
      <c r="C46" t="s">
        <v>160</v>
      </c>
      <c r="D46" t="s">
        <v>161</v>
      </c>
      <c r="E46" t="s">
        <v>162</v>
      </c>
    </row>
    <row r="47" spans="1:10" x14ac:dyDescent="0.2">
      <c r="C47">
        <f>C43/2</f>
        <v>231</v>
      </c>
      <c r="D47">
        <f>C43/2.5</f>
        <v>184.8</v>
      </c>
      <c r="E47">
        <f>C43/3</f>
        <v>154</v>
      </c>
    </row>
    <row r="49" spans="1:5" x14ac:dyDescent="0.2">
      <c r="C49" t="s">
        <v>160</v>
      </c>
      <c r="D49" t="s">
        <v>161</v>
      </c>
      <c r="E49" t="s">
        <v>162</v>
      </c>
    </row>
    <row r="50" spans="1:5" ht="38.25" x14ac:dyDescent="0.2">
      <c r="A50" s="49" t="s">
        <v>163</v>
      </c>
      <c r="C50">
        <f>C47/31</f>
        <v>7.4516129032258061</v>
      </c>
      <c r="D50">
        <f>D47/31</f>
        <v>5.9612903225806457</v>
      </c>
      <c r="E50">
        <f>E47/31</f>
        <v>4.967741935483871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F57" sqref="F57"/>
    </sheetView>
  </sheetViews>
  <sheetFormatPr defaultColWidth="11" defaultRowHeight="12.75" x14ac:dyDescent="0.2"/>
  <sheetData>
    <row r="1" spans="1:4" ht="18" x14ac:dyDescent="0.2">
      <c r="A1" s="29" t="s">
        <v>44</v>
      </c>
    </row>
    <row r="2" spans="1:4" x14ac:dyDescent="0.2">
      <c r="A2" s="30" t="s">
        <v>45</v>
      </c>
    </row>
    <row r="4" spans="1:4" x14ac:dyDescent="0.2">
      <c r="A4" s="50" t="s">
        <v>46</v>
      </c>
      <c r="B4" s="50"/>
      <c r="C4" s="51"/>
      <c r="D4" s="51"/>
    </row>
    <row r="6" spans="1:4" x14ac:dyDescent="0.2">
      <c r="A6" s="7" t="s">
        <v>47</v>
      </c>
      <c r="B6" s="7" t="s">
        <v>48</v>
      </c>
      <c r="C6" s="3" t="s">
        <v>49</v>
      </c>
      <c r="D6" s="7" t="s">
        <v>50</v>
      </c>
    </row>
    <row r="7" spans="1:4" x14ac:dyDescent="0.2">
      <c r="A7" s="31" t="s">
        <v>51</v>
      </c>
      <c r="B7" s="32">
        <v>1385</v>
      </c>
      <c r="C7" s="33">
        <v>98335</v>
      </c>
      <c r="D7" s="27">
        <v>49</v>
      </c>
    </row>
    <row r="8" spans="1:4" x14ac:dyDescent="0.2">
      <c r="A8" s="31" t="s">
        <v>52</v>
      </c>
      <c r="B8" s="32">
        <v>95</v>
      </c>
      <c r="C8" s="33">
        <v>29545</v>
      </c>
      <c r="D8" s="27">
        <v>15</v>
      </c>
    </row>
    <row r="9" spans="1:4" x14ac:dyDescent="0.2">
      <c r="A9" s="31" t="s">
        <v>53</v>
      </c>
      <c r="B9" s="32">
        <v>1360</v>
      </c>
      <c r="C9" s="33">
        <v>73450</v>
      </c>
      <c r="D9" s="27">
        <v>37</v>
      </c>
    </row>
    <row r="10" spans="1:4" x14ac:dyDescent="0.2">
      <c r="A10" s="31" t="s">
        <v>54</v>
      </c>
      <c r="B10" s="32">
        <v>1420</v>
      </c>
      <c r="C10" s="33">
        <v>139160</v>
      </c>
      <c r="D10" s="27">
        <v>70</v>
      </c>
    </row>
    <row r="11" spans="1:4" x14ac:dyDescent="0.2">
      <c r="A11" s="34"/>
      <c r="B11" s="34"/>
      <c r="C11" s="34"/>
      <c r="D11" s="34"/>
    </row>
    <row r="12" spans="1:4" x14ac:dyDescent="0.2">
      <c r="A12" s="5" t="s">
        <v>55</v>
      </c>
      <c r="C12" s="4">
        <f>SUM(C7:C10)</f>
        <v>340490</v>
      </c>
      <c r="D12">
        <f>SUM(D7:D10)</f>
        <v>171</v>
      </c>
    </row>
    <row r="14" spans="1:4" x14ac:dyDescent="0.2">
      <c r="A14" s="52" t="s">
        <v>56</v>
      </c>
      <c r="B14" s="53"/>
      <c r="C14" s="53"/>
      <c r="D14" s="53"/>
    </row>
    <row r="15" spans="1:4" x14ac:dyDescent="0.2">
      <c r="A15" t="s">
        <v>57</v>
      </c>
      <c r="B15" s="4">
        <v>1150</v>
      </c>
      <c r="C15" s="4">
        <v>39100</v>
      </c>
      <c r="D15">
        <v>20</v>
      </c>
    </row>
    <row r="16" spans="1:4" x14ac:dyDescent="0.2">
      <c r="A16" t="s">
        <v>58</v>
      </c>
      <c r="B16" s="4">
        <v>1150</v>
      </c>
      <c r="C16" s="4">
        <v>163300</v>
      </c>
      <c r="D16">
        <v>82</v>
      </c>
    </row>
    <row r="17" spans="1:4" x14ac:dyDescent="0.2">
      <c r="A17" s="12"/>
      <c r="B17" s="12"/>
      <c r="C17" s="12"/>
      <c r="D17" s="12"/>
    </row>
    <row r="18" spans="1:4" x14ac:dyDescent="0.2">
      <c r="A18" s="5" t="s">
        <v>55</v>
      </c>
      <c r="C18" s="4">
        <f>SUM(C15:C16)</f>
        <v>202400</v>
      </c>
      <c r="D18">
        <f>SUM(D15:D16)</f>
        <v>102</v>
      </c>
    </row>
    <row r="20" spans="1:4" x14ac:dyDescent="0.2">
      <c r="A20" s="50" t="s">
        <v>59</v>
      </c>
      <c r="B20" s="50"/>
      <c r="C20" s="50"/>
      <c r="D20" s="50"/>
    </row>
    <row r="21" spans="1:4" x14ac:dyDescent="0.2">
      <c r="A21" t="s">
        <v>60</v>
      </c>
      <c r="B21" s="4">
        <v>1250</v>
      </c>
      <c r="C21" s="4">
        <v>21250</v>
      </c>
      <c r="D21">
        <v>11</v>
      </c>
    </row>
    <row r="22" spans="1:4" x14ac:dyDescent="0.2">
      <c r="A22" t="s">
        <v>53</v>
      </c>
      <c r="B22" s="4">
        <v>1125</v>
      </c>
      <c r="C22" s="4">
        <v>25875</v>
      </c>
      <c r="D22">
        <v>13</v>
      </c>
    </row>
    <row r="23" spans="1:4" x14ac:dyDescent="0.2">
      <c r="A23" t="s">
        <v>54</v>
      </c>
      <c r="B23" s="4">
        <v>1250</v>
      </c>
      <c r="C23" s="4">
        <v>53750</v>
      </c>
      <c r="D23">
        <v>27</v>
      </c>
    </row>
    <row r="24" spans="1:4" x14ac:dyDescent="0.2">
      <c r="A24" s="12"/>
      <c r="B24" s="12"/>
      <c r="C24" s="12"/>
      <c r="D24" s="12"/>
    </row>
    <row r="25" spans="1:4" x14ac:dyDescent="0.2">
      <c r="A25" s="5" t="s">
        <v>55</v>
      </c>
      <c r="C25" s="4">
        <f>SUM(C21:C23)</f>
        <v>100875</v>
      </c>
      <c r="D25">
        <f>SUM(D21:D23)</f>
        <v>51</v>
      </c>
    </row>
    <row r="28" spans="1:4" x14ac:dyDescent="0.2">
      <c r="A28" s="35" t="s">
        <v>61</v>
      </c>
      <c r="B28" s="36"/>
      <c r="C28" s="37">
        <f>SUM(C12+C25)</f>
        <v>441365</v>
      </c>
      <c r="D28">
        <f>SUM(D12+D25)</f>
        <v>222</v>
      </c>
    </row>
    <row r="29" spans="1:4" x14ac:dyDescent="0.2">
      <c r="A29" s="5" t="s">
        <v>62</v>
      </c>
      <c r="C29" s="4">
        <f>SUM(C18)</f>
        <v>202400</v>
      </c>
      <c r="D29">
        <f>SUM(D18)</f>
        <v>102</v>
      </c>
    </row>
    <row r="31" spans="1:4" x14ac:dyDescent="0.2">
      <c r="A31" s="5" t="s">
        <v>63</v>
      </c>
      <c r="C31" s="4">
        <f>SUM(C28+C29)</f>
        <v>643765</v>
      </c>
      <c r="D31">
        <f>SUM(D28+D29)</f>
        <v>324</v>
      </c>
    </row>
  </sheetData>
  <mergeCells count="3">
    <mergeCell ref="A4:D4"/>
    <mergeCell ref="A14:D14"/>
    <mergeCell ref="A20:D2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M35" sqref="M35"/>
    </sheetView>
  </sheetViews>
  <sheetFormatPr defaultColWidth="11" defaultRowHeight="12.75" x14ac:dyDescent="0.2"/>
  <sheetData>
    <row r="1" spans="1:7" ht="22.5" x14ac:dyDescent="0.3">
      <c r="A1" s="2" t="s">
        <v>32</v>
      </c>
    </row>
    <row r="2" spans="1:7" ht="18" x14ac:dyDescent="0.25">
      <c r="A2" s="1" t="s">
        <v>164</v>
      </c>
    </row>
    <row r="4" spans="1:7" ht="15" x14ac:dyDescent="0.2">
      <c r="B4" s="54" t="s">
        <v>33</v>
      </c>
      <c r="C4" s="54"/>
      <c r="D4" s="50"/>
      <c r="E4" s="50"/>
      <c r="F4" s="50"/>
    </row>
    <row r="6" spans="1:7" x14ac:dyDescent="0.2">
      <c r="B6" s="3" t="s">
        <v>34</v>
      </c>
      <c r="C6" s="3" t="s">
        <v>5</v>
      </c>
      <c r="D6" s="3" t="s">
        <v>35</v>
      </c>
      <c r="E6" s="3" t="s">
        <v>3</v>
      </c>
      <c r="F6" s="3" t="s">
        <v>36</v>
      </c>
    </row>
    <row r="7" spans="1:7" x14ac:dyDescent="0.2">
      <c r="B7" t="s">
        <v>165</v>
      </c>
      <c r="C7">
        <v>91</v>
      </c>
      <c r="D7" s="4">
        <v>1375</v>
      </c>
      <c r="E7" s="4">
        <v>125125</v>
      </c>
      <c r="F7">
        <v>62.6</v>
      </c>
    </row>
    <row r="8" spans="1:7" x14ac:dyDescent="0.2">
      <c r="B8" t="s">
        <v>166</v>
      </c>
      <c r="C8">
        <v>103</v>
      </c>
      <c r="D8" s="4">
        <v>1303</v>
      </c>
      <c r="E8" s="4">
        <v>134243</v>
      </c>
      <c r="F8">
        <v>67.099999999999994</v>
      </c>
    </row>
    <row r="9" spans="1:7" x14ac:dyDescent="0.2">
      <c r="B9" t="s">
        <v>37</v>
      </c>
      <c r="C9">
        <v>48</v>
      </c>
      <c r="D9" s="4">
        <v>1263</v>
      </c>
      <c r="E9" s="4">
        <v>60624</v>
      </c>
      <c r="F9">
        <v>30.3</v>
      </c>
    </row>
    <row r="11" spans="1:7" x14ac:dyDescent="0.2">
      <c r="A11" s="5" t="s">
        <v>38</v>
      </c>
      <c r="B11" s="5"/>
      <c r="C11" s="5"/>
      <c r="D11" s="5"/>
      <c r="E11" s="6">
        <f>SUM(E7:E9)</f>
        <v>319992</v>
      </c>
      <c r="F11" s="5">
        <f>SUM(F7:F9)</f>
        <v>160</v>
      </c>
    </row>
    <row r="13" spans="1:7" ht="15" x14ac:dyDescent="0.2">
      <c r="A13" s="55" t="s">
        <v>18</v>
      </c>
      <c r="B13" s="55"/>
      <c r="C13" s="55"/>
      <c r="D13" s="55"/>
      <c r="E13" s="55"/>
      <c r="F13" s="55"/>
      <c r="G13" s="55"/>
    </row>
    <row r="15" spans="1:7" x14ac:dyDescent="0.2">
      <c r="B15" s="3" t="s">
        <v>34</v>
      </c>
      <c r="C15" s="3" t="s">
        <v>5</v>
      </c>
      <c r="D15" s="3" t="s">
        <v>35</v>
      </c>
      <c r="E15" s="3" t="s">
        <v>3</v>
      </c>
      <c r="F15" s="3" t="s">
        <v>36</v>
      </c>
      <c r="G15" s="3" t="s">
        <v>16</v>
      </c>
    </row>
    <row r="16" spans="1:7" x14ac:dyDescent="0.2">
      <c r="A16" t="s">
        <v>19</v>
      </c>
      <c r="C16">
        <v>16</v>
      </c>
      <c r="D16" s="4">
        <v>1555</v>
      </c>
      <c r="E16" s="4">
        <v>24880</v>
      </c>
      <c r="F16">
        <v>12.44</v>
      </c>
      <c r="G16" s="27"/>
    </row>
    <row r="17" spans="1:7" x14ac:dyDescent="0.2">
      <c r="A17" t="s">
        <v>21</v>
      </c>
      <c r="D17" s="4"/>
      <c r="E17" s="4"/>
      <c r="G17" s="28"/>
    </row>
    <row r="18" spans="1:7" x14ac:dyDescent="0.2">
      <c r="B18" t="s">
        <v>167</v>
      </c>
      <c r="C18">
        <v>63</v>
      </c>
      <c r="D18" s="4">
        <v>1382</v>
      </c>
      <c r="E18" s="4">
        <v>87045</v>
      </c>
      <c r="F18">
        <v>43.5</v>
      </c>
      <c r="G18" s="28"/>
    </row>
    <row r="19" spans="1:7" x14ac:dyDescent="0.2">
      <c r="B19" t="s">
        <v>168</v>
      </c>
      <c r="C19">
        <v>66</v>
      </c>
      <c r="D19" s="4">
        <v>1488</v>
      </c>
      <c r="E19" s="4">
        <v>98230</v>
      </c>
      <c r="F19">
        <v>49</v>
      </c>
    </row>
    <row r="20" spans="1:7" x14ac:dyDescent="0.2">
      <c r="D20" s="4"/>
      <c r="E20" s="4"/>
    </row>
    <row r="21" spans="1:7" x14ac:dyDescent="0.2">
      <c r="A21" s="5" t="s">
        <v>22</v>
      </c>
      <c r="C21" s="5">
        <f>SUM(C16:C19)</f>
        <v>145</v>
      </c>
      <c r="E21" s="6">
        <f>SUM(E16:E19)</f>
        <v>210155</v>
      </c>
      <c r="F21" s="5">
        <f>SUM(F16:F19)</f>
        <v>104.94</v>
      </c>
    </row>
    <row r="23" spans="1:7" ht="15" x14ac:dyDescent="0.2">
      <c r="A23" s="55" t="s">
        <v>23</v>
      </c>
      <c r="B23" s="55"/>
      <c r="C23" s="55"/>
      <c r="D23" s="55"/>
      <c r="E23" s="55"/>
      <c r="F23" s="55"/>
      <c r="G23" s="55"/>
    </row>
    <row r="25" spans="1:7" x14ac:dyDescent="0.2">
      <c r="B25" s="3" t="s">
        <v>34</v>
      </c>
      <c r="C25" s="3" t="s">
        <v>5</v>
      </c>
      <c r="D25" s="3" t="s">
        <v>35</v>
      </c>
      <c r="E25" s="3" t="s">
        <v>3</v>
      </c>
      <c r="F25" s="3" t="s">
        <v>36</v>
      </c>
      <c r="G25" s="3" t="s">
        <v>16</v>
      </c>
    </row>
    <row r="26" spans="1:7" x14ac:dyDescent="0.2">
      <c r="A26" t="s">
        <v>24</v>
      </c>
      <c r="E26" s="4">
        <v>74000</v>
      </c>
      <c r="F26">
        <v>37</v>
      </c>
    </row>
    <row r="27" spans="1:7" x14ac:dyDescent="0.2">
      <c r="A27" t="s">
        <v>17</v>
      </c>
      <c r="D27" s="4"/>
      <c r="E27" s="4">
        <v>88000</v>
      </c>
      <c r="F27">
        <v>44</v>
      </c>
    </row>
    <row r="28" spans="1:7" x14ac:dyDescent="0.2">
      <c r="A28" t="s">
        <v>25</v>
      </c>
      <c r="D28" s="4"/>
      <c r="E28" s="4">
        <v>32000</v>
      </c>
      <c r="F28">
        <v>16</v>
      </c>
    </row>
    <row r="30" spans="1:7" x14ac:dyDescent="0.2">
      <c r="A30" s="5" t="s">
        <v>22</v>
      </c>
      <c r="E30" s="5">
        <f>SUM(E26:E28)</f>
        <v>194000</v>
      </c>
      <c r="F30" s="5">
        <f>SUM(F26:F28)</f>
        <v>97</v>
      </c>
    </row>
    <row r="31" spans="1:7" x14ac:dyDescent="0.2">
      <c r="A31" s="5"/>
    </row>
    <row r="32" spans="1:7" ht="15.75" x14ac:dyDescent="0.2">
      <c r="A32" s="22" t="s">
        <v>43</v>
      </c>
      <c r="B32" s="15"/>
      <c r="C32" s="15"/>
      <c r="D32" s="15"/>
      <c r="E32" s="19">
        <f>SUM(E11+E21+E30)</f>
        <v>724147</v>
      </c>
      <c r="F32" s="18">
        <f>SUM(F11+F21+F30)</f>
        <v>361.94</v>
      </c>
      <c r="G32" s="15"/>
    </row>
  </sheetData>
  <mergeCells count="3">
    <mergeCell ref="B4:F4"/>
    <mergeCell ref="A13:G13"/>
    <mergeCell ref="A23:G2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43" sqref="A43"/>
    </sheetView>
  </sheetViews>
  <sheetFormatPr defaultColWidth="11" defaultRowHeight="12.75" x14ac:dyDescent="0.2"/>
  <sheetData>
    <row r="1" spans="1:7" ht="22.5" x14ac:dyDescent="0.3">
      <c r="A1" s="2" t="s">
        <v>32</v>
      </c>
    </row>
    <row r="2" spans="1:7" ht="18" x14ac:dyDescent="0.25">
      <c r="A2" s="1" t="s">
        <v>9</v>
      </c>
    </row>
    <row r="4" spans="1:7" x14ac:dyDescent="0.2">
      <c r="A4" s="7"/>
      <c r="B4" s="7"/>
      <c r="C4" s="7"/>
      <c r="D4" s="7"/>
      <c r="E4" s="7"/>
      <c r="F4" s="7"/>
      <c r="G4" s="7"/>
    </row>
    <row r="5" spans="1:7" x14ac:dyDescent="0.2">
      <c r="B5" t="s">
        <v>10</v>
      </c>
      <c r="C5" t="s">
        <v>11</v>
      </c>
    </row>
    <row r="6" spans="1:7" x14ac:dyDescent="0.2">
      <c r="B6" s="8" t="s">
        <v>12</v>
      </c>
      <c r="C6" s="8" t="s">
        <v>13</v>
      </c>
      <c r="D6" s="3"/>
      <c r="E6" s="3"/>
      <c r="F6" s="3"/>
    </row>
    <row r="7" spans="1:7" x14ac:dyDescent="0.2">
      <c r="B7" t="s">
        <v>14</v>
      </c>
      <c r="D7" s="4"/>
      <c r="E7" s="4"/>
    </row>
    <row r="8" spans="1:7" x14ac:dyDescent="0.2">
      <c r="D8" s="4"/>
      <c r="E8" s="4"/>
    </row>
    <row r="9" spans="1:7" ht="15" x14ac:dyDescent="0.2">
      <c r="A9" s="56" t="s">
        <v>33</v>
      </c>
      <c r="B9" s="56"/>
      <c r="C9" s="56"/>
      <c r="D9" s="56"/>
      <c r="E9" s="56"/>
      <c r="F9" s="56"/>
      <c r="G9" s="56"/>
    </row>
    <row r="11" spans="1:7" x14ac:dyDescent="0.2">
      <c r="B11" s="3" t="s">
        <v>34</v>
      </c>
      <c r="C11" s="3" t="s">
        <v>5</v>
      </c>
      <c r="D11" s="3" t="s">
        <v>35</v>
      </c>
      <c r="E11" s="3" t="s">
        <v>3</v>
      </c>
      <c r="F11" s="3" t="s">
        <v>36</v>
      </c>
      <c r="G11" s="3" t="s">
        <v>16</v>
      </c>
    </row>
    <row r="12" spans="1:7" x14ac:dyDescent="0.2">
      <c r="A12" t="s">
        <v>15</v>
      </c>
      <c r="C12">
        <v>70</v>
      </c>
      <c r="D12" s="4">
        <v>1400</v>
      </c>
      <c r="E12" s="4">
        <v>98000</v>
      </c>
      <c r="F12">
        <v>49</v>
      </c>
      <c r="G12">
        <v>8.8000000000000007</v>
      </c>
    </row>
    <row r="13" spans="1:7" x14ac:dyDescent="0.2">
      <c r="A13" t="s">
        <v>17</v>
      </c>
      <c r="C13">
        <v>83</v>
      </c>
      <c r="D13" s="4">
        <v>1350</v>
      </c>
      <c r="E13" s="4">
        <v>112050</v>
      </c>
      <c r="F13">
        <v>56</v>
      </c>
      <c r="G13">
        <v>7.2</v>
      </c>
    </row>
    <row r="14" spans="1:7" x14ac:dyDescent="0.2">
      <c r="A14" t="s">
        <v>37</v>
      </c>
      <c r="C14">
        <v>19</v>
      </c>
      <c r="D14" s="4">
        <v>1510</v>
      </c>
      <c r="E14" s="4">
        <v>28690</v>
      </c>
      <c r="F14">
        <v>14.3</v>
      </c>
    </row>
    <row r="16" spans="1:7" x14ac:dyDescent="0.2">
      <c r="A16" s="5" t="s">
        <v>38</v>
      </c>
      <c r="B16" s="5"/>
      <c r="C16" s="5"/>
      <c r="D16" s="5"/>
      <c r="E16" s="6">
        <f>SUM(E12:E14)</f>
        <v>238740</v>
      </c>
      <c r="F16" s="5">
        <f>SUM(F12:F14)</f>
        <v>119.3</v>
      </c>
    </row>
    <row r="18" spans="1:7" ht="15" x14ac:dyDescent="0.2">
      <c r="A18" s="55" t="s">
        <v>18</v>
      </c>
      <c r="B18" s="55"/>
      <c r="C18" s="55"/>
      <c r="D18" s="55"/>
      <c r="E18" s="55"/>
      <c r="F18" s="55"/>
      <c r="G18" s="55"/>
    </row>
    <row r="20" spans="1:7" x14ac:dyDescent="0.2">
      <c r="B20" s="3" t="s">
        <v>34</v>
      </c>
      <c r="C20" s="3" t="s">
        <v>5</v>
      </c>
      <c r="D20" s="3" t="s">
        <v>35</v>
      </c>
      <c r="E20" s="3" t="s">
        <v>3</v>
      </c>
      <c r="F20" s="3" t="s">
        <v>36</v>
      </c>
      <c r="G20" s="3" t="s">
        <v>16</v>
      </c>
    </row>
    <row r="21" spans="1:7" x14ac:dyDescent="0.2">
      <c r="A21" t="s">
        <v>19</v>
      </c>
      <c r="C21">
        <v>22</v>
      </c>
      <c r="D21" s="4">
        <v>1330</v>
      </c>
      <c r="E21" s="4">
        <v>29260</v>
      </c>
      <c r="F21">
        <v>14.63</v>
      </c>
      <c r="G21" s="27" t="s">
        <v>39</v>
      </c>
    </row>
    <row r="22" spans="1:7" x14ac:dyDescent="0.2">
      <c r="A22" t="s">
        <v>20</v>
      </c>
      <c r="C22">
        <v>17</v>
      </c>
      <c r="D22" s="4">
        <v>1150</v>
      </c>
      <c r="E22" s="4">
        <v>19550</v>
      </c>
      <c r="F22">
        <v>10</v>
      </c>
      <c r="G22">
        <v>8.3000000000000007</v>
      </c>
    </row>
    <row r="23" spans="1:7" x14ac:dyDescent="0.2">
      <c r="A23" t="s">
        <v>21</v>
      </c>
      <c r="C23">
        <v>71</v>
      </c>
      <c r="D23" s="4">
        <v>1400</v>
      </c>
      <c r="E23" s="4">
        <v>99400</v>
      </c>
      <c r="F23">
        <v>50</v>
      </c>
      <c r="G23" s="28" t="s">
        <v>40</v>
      </c>
    </row>
    <row r="25" spans="1:7" x14ac:dyDescent="0.2">
      <c r="A25" s="5" t="s">
        <v>22</v>
      </c>
      <c r="E25" s="5">
        <f>SUM(E21:E23)</f>
        <v>148210</v>
      </c>
      <c r="F25" s="5">
        <f>SUM(F21:F23)</f>
        <v>74.63</v>
      </c>
    </row>
    <row r="27" spans="1:7" ht="15" x14ac:dyDescent="0.2">
      <c r="A27" s="55" t="s">
        <v>23</v>
      </c>
      <c r="B27" s="55"/>
      <c r="C27" s="55"/>
      <c r="D27" s="55"/>
      <c r="E27" s="55"/>
      <c r="F27" s="55"/>
      <c r="G27" s="55"/>
    </row>
    <row r="29" spans="1:7" x14ac:dyDescent="0.2">
      <c r="B29" s="3" t="s">
        <v>34</v>
      </c>
      <c r="C29" s="3" t="s">
        <v>5</v>
      </c>
      <c r="D29" s="3" t="s">
        <v>35</v>
      </c>
      <c r="E29" s="3" t="s">
        <v>3</v>
      </c>
      <c r="F29" s="3" t="s">
        <v>36</v>
      </c>
      <c r="G29" s="3" t="s">
        <v>16</v>
      </c>
    </row>
    <row r="30" spans="1:7" x14ac:dyDescent="0.2">
      <c r="A30" t="s">
        <v>24</v>
      </c>
    </row>
    <row r="31" spans="1:7" x14ac:dyDescent="0.2">
      <c r="A31" t="s">
        <v>17</v>
      </c>
      <c r="C31">
        <v>51</v>
      </c>
      <c r="D31" s="4">
        <v>1300</v>
      </c>
      <c r="E31" s="4">
        <v>66300</v>
      </c>
      <c r="F31">
        <v>33.15</v>
      </c>
      <c r="G31">
        <v>8.1999999999999993</v>
      </c>
    </row>
    <row r="32" spans="1:7" x14ac:dyDescent="0.2">
      <c r="A32" t="s">
        <v>25</v>
      </c>
      <c r="C32">
        <v>10</v>
      </c>
      <c r="D32" s="4">
        <v>1435</v>
      </c>
      <c r="E32" s="4">
        <v>14350</v>
      </c>
      <c r="F32">
        <v>7.17</v>
      </c>
    </row>
    <row r="34" spans="1:7" x14ac:dyDescent="0.2">
      <c r="A34" s="5" t="s">
        <v>22</v>
      </c>
      <c r="E34" s="5">
        <f>SUM(E30:E32)</f>
        <v>80650</v>
      </c>
      <c r="F34" s="5">
        <f>SUM(F30:F32)</f>
        <v>40.32</v>
      </c>
    </row>
    <row r="36" spans="1:7" ht="15" x14ac:dyDescent="0.2">
      <c r="A36" s="56" t="s">
        <v>41</v>
      </c>
      <c r="B36" s="56"/>
      <c r="C36" s="56"/>
      <c r="D36" s="56"/>
      <c r="E36" s="56"/>
      <c r="F36" s="56"/>
      <c r="G36" s="56"/>
    </row>
    <row r="37" spans="1:7" x14ac:dyDescent="0.2">
      <c r="B37" s="3" t="s">
        <v>34</v>
      </c>
      <c r="C37" s="3" t="s">
        <v>5</v>
      </c>
      <c r="D37" s="3" t="s">
        <v>35</v>
      </c>
      <c r="E37" s="3" t="s">
        <v>3</v>
      </c>
      <c r="F37" s="3" t="s">
        <v>36</v>
      </c>
    </row>
    <row r="38" spans="1:7" x14ac:dyDescent="0.2">
      <c r="A38" t="s">
        <v>42</v>
      </c>
      <c r="C38">
        <v>111</v>
      </c>
      <c r="D38" s="4">
        <v>1435</v>
      </c>
      <c r="E38" s="4">
        <v>159285</v>
      </c>
      <c r="F38">
        <v>79</v>
      </c>
    </row>
    <row r="41" spans="1:7" x14ac:dyDescent="0.2">
      <c r="A41" s="5" t="s">
        <v>22</v>
      </c>
      <c r="E41" s="6">
        <v>159285</v>
      </c>
      <c r="F41" s="5">
        <v>79</v>
      </c>
    </row>
    <row r="42" spans="1:7" x14ac:dyDescent="0.2">
      <c r="A42" s="12"/>
      <c r="B42" s="12"/>
      <c r="C42" s="12"/>
      <c r="D42" s="12"/>
      <c r="E42" s="12"/>
      <c r="F42" s="12"/>
      <c r="G42" s="12"/>
    </row>
    <row r="43" spans="1:7" ht="15.75" x14ac:dyDescent="0.2">
      <c r="A43" s="9" t="s">
        <v>43</v>
      </c>
      <c r="B43" s="10"/>
      <c r="C43" s="10"/>
      <c r="D43" s="10"/>
      <c r="E43" s="11">
        <f>SUM(E16+E25+E34)</f>
        <v>467600</v>
      </c>
      <c r="F43" s="9">
        <f>SUM(F16+F25+F34)</f>
        <v>234.25</v>
      </c>
    </row>
    <row r="45" spans="1:7" ht="15.75" x14ac:dyDescent="0.2">
      <c r="A45" s="13" t="s">
        <v>26</v>
      </c>
      <c r="B45" s="13"/>
      <c r="C45" s="13"/>
      <c r="D45" s="13"/>
      <c r="E45" s="14">
        <f>SUM(E41+E43)</f>
        <v>626885</v>
      </c>
      <c r="F45" s="13">
        <f>SUM(F41+F43)</f>
        <v>313.25</v>
      </c>
    </row>
  </sheetData>
  <mergeCells count="4">
    <mergeCell ref="A9:G9"/>
    <mergeCell ref="A18:G18"/>
    <mergeCell ref="A27:G27"/>
    <mergeCell ref="A36:G3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Layout" workbookViewId="0">
      <selection activeCell="F18" sqref="F18"/>
    </sheetView>
  </sheetViews>
  <sheetFormatPr defaultColWidth="11" defaultRowHeight="12.75" x14ac:dyDescent="0.2"/>
  <cols>
    <col min="1" max="1" width="2.375" customWidth="1"/>
    <col min="2" max="2" width="12.25" customWidth="1"/>
    <col min="4" max="4" width="11.625" customWidth="1"/>
    <col min="5" max="5" width="11.375" bestFit="1" customWidth="1"/>
    <col min="6" max="6" width="10.875" bestFit="1" customWidth="1"/>
  </cols>
  <sheetData>
    <row r="1" spans="1:7" ht="24.95" customHeight="1" x14ac:dyDescent="0.3">
      <c r="A1" s="2" t="s">
        <v>0</v>
      </c>
    </row>
    <row r="2" spans="1:7" ht="18" x14ac:dyDescent="0.25">
      <c r="A2" s="1" t="s">
        <v>30</v>
      </c>
    </row>
    <row r="3" spans="1:7" ht="5.0999999999999996" customHeight="1" x14ac:dyDescent="0.2"/>
    <row r="4" spans="1:7" ht="12.95" customHeight="1" x14ac:dyDescent="0.2">
      <c r="A4" s="7"/>
      <c r="B4" s="7"/>
      <c r="C4" s="7"/>
      <c r="D4" s="7"/>
      <c r="E4" s="7"/>
      <c r="F4" s="7"/>
      <c r="G4" s="7"/>
    </row>
    <row r="5" spans="1:7" ht="15" customHeight="1" x14ac:dyDescent="0.2">
      <c r="B5" t="s">
        <v>10</v>
      </c>
      <c r="C5" t="s">
        <v>11</v>
      </c>
    </row>
    <row r="6" spans="1:7" x14ac:dyDescent="0.2">
      <c r="B6" s="8" t="s">
        <v>12</v>
      </c>
      <c r="C6" s="8" t="s">
        <v>13</v>
      </c>
      <c r="D6" s="3"/>
      <c r="E6" s="3"/>
      <c r="F6" s="3"/>
    </row>
    <row r="7" spans="1:7" x14ac:dyDescent="0.2">
      <c r="D7" s="4"/>
      <c r="E7" s="4"/>
    </row>
    <row r="8" spans="1:7" ht="15" x14ac:dyDescent="0.2">
      <c r="A8" s="56" t="s">
        <v>8</v>
      </c>
      <c r="B8" s="56"/>
      <c r="C8" s="56"/>
      <c r="D8" s="56"/>
      <c r="E8" s="56"/>
      <c r="F8" s="56"/>
      <c r="G8" s="56"/>
    </row>
    <row r="10" spans="1:7" x14ac:dyDescent="0.2">
      <c r="A10" s="15"/>
      <c r="B10" s="16" t="s">
        <v>1</v>
      </c>
      <c r="C10" s="16" t="s">
        <v>5</v>
      </c>
      <c r="D10" s="16" t="s">
        <v>2</v>
      </c>
      <c r="E10" s="16" t="s">
        <v>3</v>
      </c>
      <c r="F10" s="16" t="s">
        <v>4</v>
      </c>
      <c r="G10" s="16" t="s">
        <v>16</v>
      </c>
    </row>
    <row r="11" spans="1:7" x14ac:dyDescent="0.2">
      <c r="A11" s="15" t="s">
        <v>15</v>
      </c>
      <c r="B11" s="15"/>
      <c r="C11" s="15"/>
      <c r="D11" s="17"/>
      <c r="E11" s="17"/>
      <c r="F11" s="15"/>
      <c r="G11" s="15"/>
    </row>
    <row r="12" spans="1:7" x14ac:dyDescent="0.2">
      <c r="A12" s="15" t="s">
        <v>17</v>
      </c>
      <c r="B12" s="15"/>
      <c r="C12" s="15">
        <v>86</v>
      </c>
      <c r="D12" s="17">
        <v>1350</v>
      </c>
      <c r="E12" s="17">
        <v>116100</v>
      </c>
      <c r="F12" s="15">
        <v>58.05</v>
      </c>
      <c r="G12" s="15"/>
    </row>
    <row r="13" spans="1:7" x14ac:dyDescent="0.2">
      <c r="A13" s="15" t="s">
        <v>6</v>
      </c>
      <c r="B13" s="15"/>
      <c r="C13" s="15">
        <v>7</v>
      </c>
      <c r="D13" s="17">
        <v>1400</v>
      </c>
      <c r="E13" s="17">
        <v>9800</v>
      </c>
      <c r="F13" s="15">
        <v>4.9000000000000004</v>
      </c>
      <c r="G13" s="15">
        <v>6.25</v>
      </c>
    </row>
    <row r="15" spans="1:7" x14ac:dyDescent="0.2">
      <c r="A15" s="18" t="s">
        <v>7</v>
      </c>
      <c r="B15" s="18"/>
      <c r="C15" s="18">
        <f>SUM(C12:C13)</f>
        <v>93</v>
      </c>
      <c r="D15" s="18"/>
      <c r="E15" s="19">
        <f>SUM(E11:E13)</f>
        <v>125900</v>
      </c>
      <c r="F15" s="18">
        <f>SUM(F11:F13)</f>
        <v>62.949999999999996</v>
      </c>
      <c r="G15" s="15"/>
    </row>
    <row r="17" spans="1:7" ht="17.100000000000001" customHeight="1" x14ac:dyDescent="0.2">
      <c r="A17" s="55" t="s">
        <v>18</v>
      </c>
      <c r="B17" s="55"/>
      <c r="C17" s="55"/>
      <c r="D17" s="55"/>
      <c r="E17" s="55"/>
      <c r="F17" s="55"/>
      <c r="G17" s="55"/>
    </row>
    <row r="19" spans="1:7" x14ac:dyDescent="0.2">
      <c r="A19" s="15"/>
      <c r="B19" s="16" t="s">
        <v>1</v>
      </c>
      <c r="C19" s="16" t="s">
        <v>5</v>
      </c>
      <c r="D19" s="16" t="s">
        <v>2</v>
      </c>
      <c r="E19" s="16" t="s">
        <v>3</v>
      </c>
      <c r="F19" s="16" t="s">
        <v>4</v>
      </c>
      <c r="G19" s="16" t="s">
        <v>16</v>
      </c>
    </row>
    <row r="20" spans="1:7" x14ac:dyDescent="0.2">
      <c r="A20" s="15" t="s">
        <v>19</v>
      </c>
      <c r="B20" s="15"/>
      <c r="C20" s="15">
        <v>20</v>
      </c>
      <c r="D20" s="17">
        <v>1330</v>
      </c>
      <c r="E20" s="17">
        <v>26600</v>
      </c>
      <c r="F20" s="15">
        <v>13.3</v>
      </c>
      <c r="G20" s="20">
        <v>41107</v>
      </c>
    </row>
    <row r="21" spans="1:7" x14ac:dyDescent="0.2">
      <c r="A21" s="15" t="s">
        <v>20</v>
      </c>
      <c r="B21" s="15"/>
      <c r="C21" s="15">
        <v>17</v>
      </c>
      <c r="D21" s="17">
        <v>1200</v>
      </c>
      <c r="E21" s="17">
        <v>20400</v>
      </c>
      <c r="F21" s="15">
        <v>10.199999999999999</v>
      </c>
      <c r="G21" s="15">
        <v>8.3000000000000007</v>
      </c>
    </row>
    <row r="22" spans="1:7" x14ac:dyDescent="0.2">
      <c r="A22" s="15" t="s">
        <v>21</v>
      </c>
      <c r="B22" s="15"/>
      <c r="C22" s="15">
        <v>81</v>
      </c>
      <c r="D22" s="17">
        <v>1350</v>
      </c>
      <c r="E22" s="17">
        <v>109350</v>
      </c>
      <c r="F22" s="15">
        <v>54.67</v>
      </c>
      <c r="G22" s="21">
        <v>41107</v>
      </c>
    </row>
    <row r="24" spans="1:7" x14ac:dyDescent="0.2">
      <c r="A24" s="18" t="s">
        <v>22</v>
      </c>
      <c r="B24" s="15"/>
      <c r="C24" s="18">
        <f>SUM(C20:C21:C22)</f>
        <v>118</v>
      </c>
      <c r="D24" s="15"/>
      <c r="E24" s="18">
        <f>SUM(E20:E22)</f>
        <v>156350</v>
      </c>
      <c r="F24" s="18">
        <f>SUM(F20:F22)</f>
        <v>78.17</v>
      </c>
      <c r="G24" s="15"/>
    </row>
    <row r="26" spans="1:7" ht="15" customHeight="1" x14ac:dyDescent="0.2">
      <c r="A26" s="55" t="s">
        <v>23</v>
      </c>
      <c r="B26" s="55"/>
      <c r="C26" s="55"/>
      <c r="D26" s="55"/>
      <c r="E26" s="55"/>
      <c r="F26" s="55"/>
      <c r="G26" s="55"/>
    </row>
    <row r="28" spans="1:7" x14ac:dyDescent="0.2">
      <c r="A28" s="15"/>
      <c r="B28" s="16" t="s">
        <v>1</v>
      </c>
      <c r="C28" s="16" t="s">
        <v>5</v>
      </c>
      <c r="D28" s="16" t="s">
        <v>2</v>
      </c>
      <c r="E28" s="16" t="s">
        <v>3</v>
      </c>
      <c r="F28" s="16" t="s">
        <v>4</v>
      </c>
      <c r="G28" s="16" t="s">
        <v>16</v>
      </c>
    </row>
    <row r="29" spans="1:7" x14ac:dyDescent="0.2">
      <c r="A29" s="15" t="s">
        <v>24</v>
      </c>
      <c r="B29" s="15"/>
      <c r="C29" s="15"/>
      <c r="D29" s="15"/>
      <c r="E29" s="15"/>
      <c r="F29" s="15"/>
      <c r="G29" s="15"/>
    </row>
    <row r="30" spans="1:7" x14ac:dyDescent="0.2">
      <c r="A30" s="15" t="s">
        <v>17</v>
      </c>
      <c r="B30" s="15"/>
      <c r="C30" s="15">
        <v>72</v>
      </c>
      <c r="D30" s="17">
        <v>1300</v>
      </c>
      <c r="E30" s="17">
        <v>93600</v>
      </c>
      <c r="F30" s="15">
        <v>46.05</v>
      </c>
      <c r="G30" s="15">
        <v>8.2799999999999994</v>
      </c>
    </row>
    <row r="31" spans="1:7" x14ac:dyDescent="0.2">
      <c r="A31" s="15" t="s">
        <v>25</v>
      </c>
      <c r="B31" s="15"/>
      <c r="C31" s="15"/>
      <c r="D31" s="17"/>
      <c r="E31" s="17"/>
      <c r="F31" s="15"/>
      <c r="G31" s="15"/>
    </row>
    <row r="33" spans="1:7" x14ac:dyDescent="0.2">
      <c r="A33" s="18" t="s">
        <v>22</v>
      </c>
      <c r="B33" s="15"/>
      <c r="C33" s="15">
        <f>SUM(C29:C31)</f>
        <v>72</v>
      </c>
      <c r="D33" s="15"/>
      <c r="E33" s="18">
        <f>SUM(E29:E31)</f>
        <v>93600</v>
      </c>
      <c r="F33" s="18">
        <f>SUM(F29:F31)</f>
        <v>46.05</v>
      </c>
      <c r="G33" s="15"/>
    </row>
    <row r="35" spans="1:7" ht="17.100000000000001" customHeight="1" x14ac:dyDescent="0.2">
      <c r="A35" s="56" t="s">
        <v>28</v>
      </c>
      <c r="B35" s="56"/>
      <c r="C35" s="56"/>
      <c r="D35" s="56"/>
      <c r="E35" s="56"/>
      <c r="F35" s="56"/>
      <c r="G35" s="56"/>
    </row>
    <row r="36" spans="1:7" x14ac:dyDescent="0.2">
      <c r="A36" s="15"/>
      <c r="B36" s="16" t="s">
        <v>1</v>
      </c>
      <c r="C36" s="16" t="s">
        <v>5</v>
      </c>
      <c r="D36" s="16" t="s">
        <v>2</v>
      </c>
      <c r="E36" s="16" t="s">
        <v>3</v>
      </c>
      <c r="F36" s="16" t="s">
        <v>4</v>
      </c>
      <c r="G36" s="15"/>
    </row>
    <row r="37" spans="1:7" x14ac:dyDescent="0.2">
      <c r="A37" s="15" t="s">
        <v>29</v>
      </c>
      <c r="B37" s="15"/>
      <c r="C37" s="15">
        <v>22</v>
      </c>
      <c r="D37" s="17">
        <v>1480</v>
      </c>
      <c r="E37" s="17">
        <v>32560</v>
      </c>
      <c r="F37" s="15">
        <v>16.2</v>
      </c>
      <c r="G37" s="15"/>
    </row>
    <row r="40" spans="1:7" x14ac:dyDescent="0.2">
      <c r="A40" s="18" t="s">
        <v>22</v>
      </c>
      <c r="B40" s="15"/>
      <c r="C40" s="15">
        <v>22</v>
      </c>
      <c r="D40" s="15"/>
      <c r="E40" s="19">
        <v>32560</v>
      </c>
      <c r="F40" s="18">
        <v>16.2</v>
      </c>
      <c r="G40" s="15"/>
    </row>
    <row r="41" spans="1:7" x14ac:dyDescent="0.2">
      <c r="A41" s="18" t="s">
        <v>22</v>
      </c>
      <c r="B41" s="12"/>
      <c r="C41" s="18">
        <f>SUM(C15+C24+C33+C40)</f>
        <v>305</v>
      </c>
      <c r="D41" s="12"/>
      <c r="E41" s="12"/>
      <c r="F41" s="12"/>
      <c r="G41" s="12"/>
    </row>
    <row r="42" spans="1:7" ht="20.100000000000001" customHeight="1" x14ac:dyDescent="0.2">
      <c r="A42" s="22" t="s">
        <v>27</v>
      </c>
      <c r="B42" s="23"/>
      <c r="C42" s="23"/>
      <c r="D42" s="23"/>
      <c r="E42" s="24">
        <f>SUM(E15+E24+E33)</f>
        <v>375850</v>
      </c>
      <c r="F42" s="22">
        <f>SUM(F15+F24+F33)</f>
        <v>187.17000000000002</v>
      </c>
      <c r="G42" s="15"/>
    </row>
    <row r="44" spans="1:7" ht="21" customHeight="1" x14ac:dyDescent="0.2">
      <c r="A44" s="25" t="s">
        <v>26</v>
      </c>
      <c r="B44" s="25"/>
      <c r="C44" s="25"/>
      <c r="D44" s="25"/>
      <c r="E44" s="26">
        <f>SUM(E40+E42)</f>
        <v>408410</v>
      </c>
      <c r="F44" s="25">
        <f>SUM(F15+F24+F33+F37)</f>
        <v>203.37</v>
      </c>
      <c r="G44" s="15"/>
    </row>
    <row r="45" spans="1:7" x14ac:dyDescent="0.2">
      <c r="A45" t="s">
        <v>31</v>
      </c>
    </row>
    <row r="46" spans="1:7" ht="15.75" x14ac:dyDescent="0.2">
      <c r="A46" s="13"/>
      <c r="F46" s="13"/>
    </row>
  </sheetData>
  <mergeCells count="4">
    <mergeCell ref="A17:G17"/>
    <mergeCell ref="A8:G8"/>
    <mergeCell ref="A26:G26"/>
    <mergeCell ref="A35:G35"/>
  </mergeCells>
  <phoneticPr fontId="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2009</vt:lpstr>
      <vt:lpstr>2010</vt:lpstr>
      <vt:lpstr>2013</vt:lpstr>
      <vt:lpstr>2014</vt:lpstr>
      <vt:lpstr>2015</vt:lpstr>
      <vt:lpstr>2016</vt:lpstr>
    </vt:vector>
  </TitlesOfParts>
  <Company>Clark Fork Coalition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Schmidt</dc:creator>
  <cp:lastModifiedBy>Jodi Pauley</cp:lastModifiedBy>
  <cp:lastPrinted>2015-08-21T14:36:07Z</cp:lastPrinted>
  <dcterms:created xsi:type="dcterms:W3CDTF">2014-07-25T16:43:26Z</dcterms:created>
  <dcterms:modified xsi:type="dcterms:W3CDTF">2017-02-27T17:10:33Z</dcterms:modified>
</cp:coreProperties>
</file>