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80" windowWidth="15576" windowHeight="11328" tabRatio="896"/>
  </bookViews>
  <sheets>
    <sheet name="Time Allocation" sheetId="1" r:id="rId1"/>
    <sheet name="Time Allocation (2)" sheetId="8" r:id="rId2"/>
    <sheet name="3 head" sheetId="3" r:id="rId3"/>
    <sheet name="1 steer" sheetId="4" r:id="rId4"/>
    <sheet name="Restaurant" sheetId="5" r:id="rId5"/>
    <sheet name="RestFS combi" sheetId="10" r:id="rId6"/>
    <sheet name="Farm Store" sheetId="9" r:id="rId7"/>
    <sheet name="Price &amp; time" sheetId="6" r:id="rId8"/>
    <sheet name="LMCAT" sheetId="7" r:id="rId9"/>
  </sheets>
  <calcPr calcId="145621"/>
</workbook>
</file>

<file path=xl/calcChain.xml><?xml version="1.0" encoding="utf-8"?>
<calcChain xmlns="http://schemas.openxmlformats.org/spreadsheetml/2006/main">
  <c r="C39" i="10" l="1"/>
  <c r="F11" i="10"/>
  <c r="C45" i="10"/>
  <c r="C44" i="10"/>
  <c r="F37" i="10"/>
  <c r="C31" i="10"/>
  <c r="E31" i="10" s="1"/>
  <c r="C28" i="10"/>
  <c r="E28" i="10" s="1"/>
  <c r="C25" i="10"/>
  <c r="C24" i="10"/>
  <c r="E24" i="10" s="1"/>
  <c r="C23" i="10"/>
  <c r="E23" i="10" s="1"/>
  <c r="C22" i="10"/>
  <c r="E22" i="10" s="1"/>
  <c r="C21" i="10"/>
  <c r="E21" i="10" s="1"/>
  <c r="C10" i="9"/>
  <c r="E10" i="9"/>
  <c r="C11" i="9"/>
  <c r="E11" i="9"/>
  <c r="C12" i="9"/>
  <c r="E12" i="9"/>
  <c r="C13" i="9"/>
  <c r="E13" i="9"/>
  <c r="C17" i="10"/>
  <c r="E17" i="10" s="1"/>
  <c r="C35" i="10"/>
  <c r="E35" i="10" s="1"/>
  <c r="E13" i="10"/>
  <c r="C13" i="10"/>
  <c r="C36" i="10"/>
  <c r="E36" i="10" s="1"/>
  <c r="C10" i="10"/>
  <c r="F7" i="10" s="1"/>
  <c r="C14" i="10"/>
  <c r="E14" i="10" s="1"/>
  <c r="C38" i="10"/>
  <c r="E38" i="10" s="1"/>
  <c r="C33" i="10"/>
  <c r="E33" i="10" s="1"/>
  <c r="C30" i="10"/>
  <c r="E30" i="10" s="1"/>
  <c r="C27" i="10"/>
  <c r="E27" i="10" s="1"/>
  <c r="C20" i="10"/>
  <c r="E20" i="10" s="1"/>
  <c r="C19" i="10"/>
  <c r="E19" i="10" s="1"/>
  <c r="C16" i="10"/>
  <c r="E16" i="10" s="1"/>
  <c r="E12" i="10"/>
  <c r="E9" i="10"/>
  <c r="C8" i="10"/>
  <c r="E8" i="10" s="1"/>
  <c r="H39" i="10"/>
  <c r="F26" i="10" l="1"/>
  <c r="G26" i="10" s="1"/>
  <c r="E10" i="10"/>
  <c r="F29" i="10"/>
  <c r="F15" i="10"/>
  <c r="F32" i="10"/>
  <c r="G32" i="10" s="1"/>
  <c r="F18" i="10"/>
  <c r="F34" i="10"/>
  <c r="G11" i="10"/>
  <c r="E39" i="10"/>
  <c r="G15" i="10" l="1"/>
  <c r="G7" i="10"/>
  <c r="G39" i="10" s="1"/>
  <c r="G34" i="10"/>
  <c r="G29" i="10"/>
  <c r="G18" i="10"/>
  <c r="K6" i="6" l="1"/>
  <c r="H6" i="6"/>
  <c r="G5" i="6"/>
  <c r="C29" i="9"/>
  <c r="C5" i="9"/>
  <c r="E5" i="9" s="1"/>
  <c r="C4" i="9"/>
  <c r="C7" i="9"/>
  <c r="E7" i="9" s="1"/>
  <c r="C6" i="9"/>
  <c r="E6" i="9" s="1"/>
  <c r="C15" i="9"/>
  <c r="E15" i="9" s="1"/>
  <c r="C8" i="9"/>
  <c r="E8" i="9" s="1"/>
  <c r="C16" i="9"/>
  <c r="E16" i="9" s="1"/>
  <c r="C9" i="9"/>
  <c r="E9" i="9" s="1"/>
  <c r="C14" i="9"/>
  <c r="C4" i="5"/>
  <c r="C31" i="5"/>
  <c r="C13" i="5"/>
  <c r="E13" i="5" s="1"/>
  <c r="C10" i="5"/>
  <c r="E10" i="5" s="1"/>
  <c r="C12" i="5"/>
  <c r="E12" i="5" s="1"/>
  <c r="C11" i="5"/>
  <c r="E11" i="5" s="1"/>
  <c r="C8" i="5"/>
  <c r="E8" i="5" s="1"/>
  <c r="C9" i="5"/>
  <c r="E9" i="5" s="1"/>
  <c r="C7" i="5"/>
  <c r="E7" i="5" s="1"/>
  <c r="E6" i="5"/>
  <c r="E5" i="5"/>
  <c r="C17" i="9" l="1"/>
  <c r="E4" i="9"/>
  <c r="E17" i="9" s="1"/>
  <c r="C14" i="5"/>
  <c r="E4" i="5"/>
  <c r="E14" i="5" s="1"/>
  <c r="D7" i="4"/>
  <c r="D17" i="9" l="1"/>
  <c r="D14" i="5"/>
  <c r="C16" i="6"/>
  <c r="C15" i="6"/>
  <c r="C14" i="6"/>
  <c r="F5" i="6"/>
  <c r="F15" i="6"/>
  <c r="E6" i="6"/>
  <c r="D5" i="6"/>
  <c r="H5" i="6" s="1"/>
  <c r="J18" i="8"/>
  <c r="J14" i="8"/>
  <c r="F4" i="6" s="1"/>
  <c r="H18" i="8"/>
  <c r="G18" i="8"/>
  <c r="F18" i="8"/>
  <c r="E18" i="8"/>
  <c r="D18" i="8"/>
  <c r="H14" i="8"/>
  <c r="G14" i="8"/>
  <c r="F14" i="8"/>
  <c r="E14" i="8"/>
  <c r="D14" i="8"/>
  <c r="L14" i="8"/>
  <c r="B4" i="7" s="1"/>
  <c r="L18" i="8"/>
  <c r="B5" i="7" s="1"/>
  <c r="I36" i="8"/>
  <c r="I35" i="8"/>
  <c r="I34" i="8"/>
  <c r="I33" i="8"/>
  <c r="I32" i="8"/>
  <c r="I31" i="8"/>
  <c r="I30" i="8"/>
  <c r="I29" i="8"/>
  <c r="I28" i="8"/>
  <c r="K27" i="8"/>
  <c r="I27" i="8"/>
  <c r="K26" i="8"/>
  <c r="I26" i="8"/>
  <c r="K25" i="8"/>
  <c r="I25" i="8"/>
  <c r="I24" i="8"/>
  <c r="I23" i="8"/>
  <c r="K22" i="8"/>
  <c r="I22" i="8"/>
  <c r="K21" i="8"/>
  <c r="I21" i="8"/>
  <c r="K20" i="8"/>
  <c r="I20" i="8"/>
  <c r="K19" i="8"/>
  <c r="I19" i="8"/>
  <c r="I11" i="8"/>
  <c r="I10" i="8"/>
  <c r="K17" i="8"/>
  <c r="I17" i="8"/>
  <c r="K16" i="8"/>
  <c r="I16" i="8"/>
  <c r="K15" i="8"/>
  <c r="K18" i="8" s="1"/>
  <c r="I15" i="8"/>
  <c r="I18" i="8" s="1"/>
  <c r="C5" i="7" s="1"/>
  <c r="I13" i="8"/>
  <c r="I12" i="8"/>
  <c r="K9" i="8"/>
  <c r="I9" i="8"/>
  <c r="I8" i="8"/>
  <c r="K7" i="8"/>
  <c r="I7" i="8"/>
  <c r="I6" i="8"/>
  <c r="I5" i="8"/>
  <c r="I4" i="8"/>
  <c r="I3" i="8"/>
  <c r="I2" i="8"/>
  <c r="I14" i="8" s="1"/>
  <c r="C4" i="7" s="1"/>
  <c r="I3" i="1"/>
  <c r="I2" i="1"/>
  <c r="H17" i="1"/>
  <c r="G17" i="1"/>
  <c r="F17" i="1"/>
  <c r="E17" i="1"/>
  <c r="D17" i="1"/>
  <c r="I19" i="1"/>
  <c r="I18" i="1"/>
  <c r="I16" i="1"/>
  <c r="I15" i="1"/>
  <c r="I14" i="1"/>
  <c r="I13" i="1"/>
  <c r="I12" i="1"/>
  <c r="I11" i="1"/>
  <c r="D3" i="4"/>
  <c r="D19" i="4"/>
  <c r="D17" i="4"/>
  <c r="D14" i="4"/>
  <c r="D16" i="4"/>
  <c r="D12" i="4"/>
  <c r="D4" i="4"/>
  <c r="D13" i="4"/>
  <c r="D15" i="4"/>
  <c r="D20" i="4"/>
  <c r="D11" i="4"/>
  <c r="D5" i="4"/>
  <c r="F5" i="4" s="1"/>
  <c r="H15" i="6" l="1"/>
  <c r="E4" i="6"/>
  <c r="K14" i="8"/>
  <c r="E5" i="6"/>
  <c r="I5" i="6"/>
  <c r="K17" i="1"/>
  <c r="J25" i="1"/>
  <c r="J19" i="1"/>
  <c r="J18" i="1"/>
  <c r="J14" i="1"/>
  <c r="J13" i="1"/>
  <c r="J12" i="1"/>
  <c r="F16" i="6" l="1"/>
  <c r="H16" i="6" s="1"/>
  <c r="I6" i="6" s="1"/>
  <c r="J6" i="6" s="1"/>
  <c r="F14" i="6"/>
  <c r="H14" i="6" s="1"/>
  <c r="I4" i="6" s="1"/>
  <c r="B14" i="6"/>
  <c r="D4" i="6"/>
  <c r="J5" i="6" l="1"/>
  <c r="K5" i="6" s="1"/>
  <c r="G4" i="6" l="1"/>
  <c r="F8" i="4"/>
  <c r="F14" i="4"/>
  <c r="F16" i="4"/>
  <c r="F12" i="4"/>
  <c r="F17" i="4"/>
  <c r="F7" i="4"/>
  <c r="F4" i="4"/>
  <c r="F20" i="4"/>
  <c r="F15" i="4"/>
  <c r="F11" i="4"/>
  <c r="F13" i="4"/>
  <c r="C23" i="4"/>
  <c r="F22" i="4"/>
  <c r="F21" i="4"/>
  <c r="F19" i="4"/>
  <c r="F18" i="4"/>
  <c r="F10" i="4"/>
  <c r="F9" i="4"/>
  <c r="F6" i="4"/>
  <c r="J4" i="6" l="1"/>
  <c r="K4" i="6" s="1"/>
  <c r="H4" i="6"/>
  <c r="D23" i="4"/>
  <c r="D27" i="4" s="1"/>
  <c r="D28" i="4" s="1"/>
  <c r="F3" i="4"/>
  <c r="F23" i="4" s="1"/>
  <c r="D23" i="3"/>
  <c r="D18" i="3"/>
  <c r="D16" i="3"/>
  <c r="D15" i="3"/>
  <c r="D14" i="3"/>
  <c r="D4" i="3"/>
  <c r="C24" i="3"/>
  <c r="D24" i="3" s="1"/>
  <c r="C19" i="3"/>
  <c r="D19" i="3" s="1"/>
  <c r="C22" i="3"/>
  <c r="D22" i="3" s="1"/>
  <c r="C21" i="3"/>
  <c r="D21" i="3" s="1"/>
  <c r="C20" i="3"/>
  <c r="D20" i="3" s="1"/>
  <c r="C17" i="3"/>
  <c r="D17" i="3" s="1"/>
  <c r="C13" i="3"/>
  <c r="D13" i="3" s="1"/>
  <c r="C12" i="3"/>
  <c r="D12" i="3" s="1"/>
  <c r="C11" i="3"/>
  <c r="D11" i="3" s="1"/>
  <c r="C10" i="3"/>
  <c r="D10" i="3" s="1"/>
  <c r="C9" i="3"/>
  <c r="D9" i="3" s="1"/>
  <c r="C8" i="3"/>
  <c r="D8" i="3" s="1"/>
  <c r="C7" i="3"/>
  <c r="D7" i="3" s="1"/>
  <c r="C6" i="3"/>
  <c r="D6" i="3" s="1"/>
  <c r="C5" i="3"/>
  <c r="D5" i="3" s="1"/>
  <c r="C3" i="3"/>
  <c r="D3" i="3" s="1"/>
  <c r="C2" i="3"/>
  <c r="J26" i="1"/>
  <c r="J21" i="1"/>
  <c r="J20" i="1"/>
  <c r="J24" i="1"/>
  <c r="J9" i="1"/>
  <c r="D29" i="4" l="1"/>
  <c r="E23" i="4"/>
  <c r="C25" i="3"/>
  <c r="C26" i="3" s="1"/>
  <c r="D2" i="3"/>
  <c r="D25" i="3" s="1"/>
  <c r="J7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0" i="1"/>
  <c r="I9" i="1"/>
  <c r="I8" i="1"/>
  <c r="I7" i="1"/>
  <c r="I6" i="1"/>
  <c r="I5" i="1"/>
  <c r="I4" i="1"/>
  <c r="I17" i="1" s="1"/>
  <c r="J17" i="1" l="1"/>
</calcChain>
</file>

<file path=xl/sharedStrings.xml><?xml version="1.0" encoding="utf-8"?>
<sst xmlns="http://schemas.openxmlformats.org/spreadsheetml/2006/main" count="345" uniqueCount="187">
  <si>
    <t>Travel to/from slaughterhouse</t>
  </si>
  <si>
    <t>Customer deliveries, travel to market</t>
  </si>
  <si>
    <t>Bookkeeping/making invoices/bills</t>
  </si>
  <si>
    <t>Total Miles</t>
  </si>
  <si>
    <t>Invoice Amount</t>
  </si>
  <si>
    <t>Load vehicle</t>
  </si>
  <si>
    <t>Mirbeau</t>
  </si>
  <si>
    <t>Bandwagon</t>
  </si>
  <si>
    <t>Animal ID/HCW</t>
  </si>
  <si>
    <t>How many head?</t>
  </si>
  <si>
    <t>For how many customers?</t>
  </si>
  <si>
    <t>Date</t>
  </si>
  <si>
    <t>Destination</t>
  </si>
  <si>
    <t>Cortland</t>
  </si>
  <si>
    <t>Anderson</t>
  </si>
  <si>
    <t>Gladtime</t>
  </si>
  <si>
    <t>Slaughterhouse</t>
  </si>
  <si>
    <t>Oct Fresh</t>
  </si>
  <si>
    <t>Simeon's</t>
  </si>
  <si>
    <t>Waterwheel</t>
  </si>
  <si>
    <t>Pita Gourmet</t>
  </si>
  <si>
    <t>Brix</t>
  </si>
  <si>
    <t>Private Customer</t>
  </si>
  <si>
    <t>Frozen Oct</t>
  </si>
  <si>
    <t>Home</t>
  </si>
  <si>
    <t>Hairy Tony's</t>
  </si>
  <si>
    <t>Fennell Market</t>
  </si>
  <si>
    <t>Pack &amp; sort orders/boxes</t>
  </si>
  <si>
    <t>TIME TOTALS</t>
  </si>
  <si>
    <t>Catch &amp; load</t>
  </si>
  <si>
    <t>Pounds on Invoice</t>
  </si>
  <si>
    <t>Cut</t>
  </si>
  <si>
    <t>lbs</t>
  </si>
  <si>
    <t>Ground Beef</t>
  </si>
  <si>
    <t>Flanks</t>
  </si>
  <si>
    <t>Striploins</t>
  </si>
  <si>
    <t>Tenderloins</t>
  </si>
  <si>
    <t>Price/lb</t>
  </si>
  <si>
    <t>Whole Rib Roasts</t>
  </si>
  <si>
    <t>Stew/Speedie</t>
  </si>
  <si>
    <t>Cubed</t>
  </si>
  <si>
    <t>Porterhouse</t>
  </si>
  <si>
    <t>Delmonicos</t>
  </si>
  <si>
    <t>NY Strip</t>
  </si>
  <si>
    <t>Sirloin Tips</t>
  </si>
  <si>
    <t>Minute Steaks</t>
  </si>
  <si>
    <t>Skirt Steaks</t>
  </si>
  <si>
    <t>Sirloin</t>
  </si>
  <si>
    <t>Whole Legs</t>
  </si>
  <si>
    <t>Top Butt Sirloins</t>
  </si>
  <si>
    <t>Whole Top Round</t>
  </si>
  <si>
    <t>Tongues</t>
  </si>
  <si>
    <t>Total</t>
  </si>
  <si>
    <t>Beef Cuts</t>
  </si>
  <si>
    <t>Estimated Pounds of Specific Cuts</t>
  </si>
  <si>
    <t>Stew Meat</t>
  </si>
  <si>
    <t>Top Round</t>
  </si>
  <si>
    <t>Prime rib/ Ribeye</t>
  </si>
  <si>
    <t>Tenderloin</t>
  </si>
  <si>
    <t>Strip loin</t>
  </si>
  <si>
    <t>Brisket</t>
  </si>
  <si>
    <t>Sirloin roasts &amp; steaks</t>
  </si>
  <si>
    <t>Tongue/liver/Ox tail</t>
  </si>
  <si>
    <t>Total/Average:</t>
  </si>
  <si>
    <t>One head beef</t>
  </si>
  <si>
    <t>Wholesale price</t>
  </si>
  <si>
    <t>Extended Gross Sales</t>
  </si>
  <si>
    <t xml:space="preserve">  </t>
  </si>
  <si>
    <t>3 head?</t>
  </si>
  <si>
    <t>Actual Pounds Sold</t>
  </si>
  <si>
    <t>Invoices from</t>
  </si>
  <si>
    <t>9/28 Bandwagon</t>
  </si>
  <si>
    <t>9/28 Mirbeau</t>
  </si>
  <si>
    <t>Ground beef</t>
  </si>
  <si>
    <t>9/30 Hairy Tony's</t>
  </si>
  <si>
    <t>9/30 Andersons</t>
  </si>
  <si>
    <t>Cube steak</t>
  </si>
  <si>
    <t>10/4 Glad Time</t>
  </si>
  <si>
    <t>Porterhouse/T-bone</t>
  </si>
  <si>
    <t>Delmonico (rib)</t>
  </si>
  <si>
    <t>Strip loin 2</t>
  </si>
  <si>
    <t>Tenderloin 2</t>
  </si>
  <si>
    <t>10/7 Andersons</t>
  </si>
  <si>
    <t>10/10 Pita</t>
  </si>
  <si>
    <t>10/11 Bandwagon</t>
  </si>
  <si>
    <t>Weighted avg.</t>
  </si>
  <si>
    <t>HCW</t>
  </si>
  <si>
    <t>Pounds</t>
  </si>
  <si>
    <t>Trucking</t>
  </si>
  <si>
    <t>Kill fee</t>
  </si>
  <si>
    <t>Retail</t>
  </si>
  <si>
    <t>% of carcass</t>
  </si>
  <si>
    <t>Market Channel $/lb.</t>
  </si>
  <si>
    <t>Channel</t>
  </si>
  <si>
    <t>Weight selling price is based on</t>
  </si>
  <si>
    <t>Costs</t>
  </si>
  <si>
    <t>Marketing Profit/head</t>
  </si>
  <si>
    <t>Sells whole carcass?</t>
  </si>
  <si>
    <t>Yes</t>
  </si>
  <si>
    <t>Freezer</t>
  </si>
  <si>
    <t>Cut &amp; wrap $/lb.</t>
  </si>
  <si>
    <t>Processing Subtotal</t>
  </si>
  <si>
    <t>Assoc. costs</t>
  </si>
  <si>
    <t>Other assumptions:</t>
  </si>
  <si>
    <t>Does not include any production costs.</t>
  </si>
  <si>
    <t>$1/head to Beef Check-off program.</t>
  </si>
  <si>
    <t>Weighted Avg.</t>
  </si>
  <si>
    <t>Invoice #</t>
  </si>
  <si>
    <t>NO</t>
  </si>
  <si>
    <t xml:space="preserve">NO </t>
  </si>
  <si>
    <t>Pita</t>
  </si>
  <si>
    <t>Minute steaks (top round)</t>
  </si>
  <si>
    <t>Ribs (short) (ground)</t>
  </si>
  <si>
    <t>Chuck roast/steak (ground)</t>
  </si>
  <si>
    <t>Shanks/Soup bones (whole legs)</t>
  </si>
  <si>
    <t>Carcass weight:</t>
  </si>
  <si>
    <t>Retail Pounds:</t>
  </si>
  <si>
    <t>Yield:</t>
  </si>
  <si>
    <t>Equivalent HCW price:</t>
  </si>
  <si>
    <t>Sales Volume ($)</t>
  </si>
  <si>
    <t>Labor Hours</t>
  </si>
  <si>
    <t>Marketing Costs</t>
  </si>
  <si>
    <t>Marketing Profit</t>
  </si>
  <si>
    <t>Risk</t>
  </si>
  <si>
    <t>Lifestyle</t>
  </si>
  <si>
    <t>Inventory Management</t>
  </si>
  <si>
    <t xml:space="preserve">Restaurant </t>
  </si>
  <si>
    <t>Farm Store (grocery)</t>
  </si>
  <si>
    <t>Freezer Trade</t>
  </si>
  <si>
    <t>Farm Store</t>
  </si>
  <si>
    <t>Restaurant</t>
  </si>
  <si>
    <t>Marketing Minutes spent</t>
  </si>
  <si>
    <t>Miles ($0.555/mi)</t>
  </si>
  <si>
    <t>Processing Costs:</t>
  </si>
  <si>
    <t>Weighted Average $/lb</t>
  </si>
  <si>
    <t xml:space="preserve">Invoices from 9/14-10/19 </t>
  </si>
  <si>
    <t>Short ribs- go to ground</t>
  </si>
  <si>
    <t>Total Sale</t>
  </si>
  <si>
    <t>Restaurant Channel</t>
  </si>
  <si>
    <t>Farm Store Channel</t>
  </si>
  <si>
    <t>Gross Sales</t>
  </si>
  <si>
    <t>Assume entire carcass sold in each channel at that channel's average $/lb to calculate gross sales.</t>
  </si>
  <si>
    <t>Marketing Profit/ minute</t>
  </si>
  <si>
    <t>Ground beef R</t>
  </si>
  <si>
    <t>Ground beef 2 R</t>
  </si>
  <si>
    <t>Top Round R</t>
  </si>
  <si>
    <t>Whole Ribs R</t>
  </si>
  <si>
    <t>Tenderloin R</t>
  </si>
  <si>
    <t>Strip loin R</t>
  </si>
  <si>
    <t>Sirloin roasts &amp; steaks R</t>
  </si>
  <si>
    <t>Flanks R</t>
  </si>
  <si>
    <t>Shanks/Soup bones (whole legs) R</t>
  </si>
  <si>
    <t>Tongue R</t>
  </si>
  <si>
    <t>Chuck &amp; Short ribs- go to ground</t>
  </si>
  <si>
    <t>Ground beef FS</t>
  </si>
  <si>
    <t>Ground beef 2 FS</t>
  </si>
  <si>
    <t>Stew Meat FS</t>
  </si>
  <si>
    <t>Minute steaks (top round) FS</t>
  </si>
  <si>
    <t>Cubed steaks FS</t>
  </si>
  <si>
    <t>Delmonico (boneless ribeye) FS</t>
  </si>
  <si>
    <t>Tenderloin FS</t>
  </si>
  <si>
    <t>tenderloin 2 FS</t>
  </si>
  <si>
    <t>Strip loin FS</t>
  </si>
  <si>
    <t>Strip loin 2 FS</t>
  </si>
  <si>
    <t>Porterhouse/T-bone FS</t>
  </si>
  <si>
    <t>Sirloin roasts/steaks/tips FS</t>
  </si>
  <si>
    <t>Skirt steaks FS</t>
  </si>
  <si>
    <t>Cut List</t>
  </si>
  <si>
    <t>Chuck primals</t>
  </si>
  <si>
    <t>Assume primal yields as published by Angus Association</t>
  </si>
  <si>
    <t>Flank &amp; Short plate primals</t>
  </si>
  <si>
    <t>Brisket &amp; Shank</t>
  </si>
  <si>
    <t>Trim</t>
  </si>
  <si>
    <t>Round primals</t>
  </si>
  <si>
    <t>Rib primal</t>
  </si>
  <si>
    <t>Short Loin primal</t>
  </si>
  <si>
    <t>Sirloin primal</t>
  </si>
  <si>
    <t>Total:</t>
  </si>
  <si>
    <t>AA</t>
  </si>
  <si>
    <t>Restaurant &amp; Farm Store Channels Combined</t>
  </si>
  <si>
    <t>4 head cattle total</t>
  </si>
  <si>
    <t>Primal Pounds</t>
  </si>
  <si>
    <t>Other</t>
  </si>
  <si>
    <t>% of Lbs. Sold</t>
  </si>
  <si>
    <t>Cross Check</t>
  </si>
  <si>
    <t>Freezer trade data are assumptions, not actual.</t>
  </si>
  <si>
    <t>Assume retail yield at 62%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</si>
</sst>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"/>
    <numFmt numFmtId="165" formatCode="&quot;$&quot;#,##0.00"/>
    <numFmt numFmtId="166" formatCode="0.0%"/>
    <numFmt numFmtId="167" formatCode="&quot;$&quot;#,##0"/>
    <numFmt numFmtId="168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</font>
    <font>
      <sz val="12"/>
      <color indexed="17"/>
      <name val="Calibri"/>
      <family val="2"/>
    </font>
    <font>
      <sz val="12"/>
      <name val="Calibri"/>
      <family val="2"/>
    </font>
    <font>
      <sz val="12"/>
      <color indexed="53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Arial"/>
      <family val="2"/>
    </font>
    <font>
      <sz val="12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7" fillId="0" borderId="0"/>
    <xf numFmtId="0" fontId="1" fillId="0" borderId="0"/>
  </cellStyleXfs>
  <cellXfs count="163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 wrapText="1"/>
    </xf>
    <xf numFmtId="44" fontId="4" fillId="0" borderId="0" xfId="1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44" fontId="5" fillId="0" borderId="0" xfId="1" applyFont="1" applyAlignment="1">
      <alignment horizontal="center" wrapText="1"/>
    </xf>
    <xf numFmtId="0" fontId="0" fillId="0" borderId="0" xfId="0" applyAlignment="1">
      <alignment horizontal="right"/>
    </xf>
    <xf numFmtId="8" fontId="4" fillId="0" borderId="0" xfId="1" applyNumberFormat="1" applyFont="1" applyAlignment="1">
      <alignment horizontal="center" wrapText="1"/>
    </xf>
    <xf numFmtId="0" fontId="3" fillId="0" borderId="0" xfId="0" applyFont="1" applyAlignment="1">
      <alignment horizontal="right"/>
    </xf>
    <xf numFmtId="0" fontId="3" fillId="0" borderId="0" xfId="0" applyFont="1"/>
    <xf numFmtId="8" fontId="3" fillId="0" borderId="0" xfId="0" applyNumberFormat="1" applyFont="1" applyAlignment="1">
      <alignment horizontal="center" wrapText="1"/>
    </xf>
    <xf numFmtId="16" fontId="4" fillId="2" borderId="0" xfId="0" applyNumberFormat="1" applyFont="1" applyFill="1"/>
    <xf numFmtId="16" fontId="4" fillId="3" borderId="0" xfId="0" applyNumberFormat="1" applyFont="1" applyFill="1"/>
    <xf numFmtId="0" fontId="4" fillId="4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16" fontId="5" fillId="0" borderId="0" xfId="0" applyNumberFormat="1" applyFont="1"/>
    <xf numFmtId="0" fontId="7" fillId="0" borderId="0" xfId="0" applyFont="1"/>
    <xf numFmtId="0" fontId="4" fillId="0" borderId="0" xfId="0" applyFont="1" applyAlignment="1">
      <alignment horizontal="center" wrapText="1"/>
    </xf>
    <xf numFmtId="44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7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7" fontId="0" fillId="0" borderId="0" xfId="0" applyNumberFormat="1" applyAlignment="1">
      <alignment horizontal="center"/>
    </xf>
    <xf numFmtId="44" fontId="0" fillId="0" borderId="0" xfId="1" applyFont="1" applyAlignment="1">
      <alignment horizontal="center"/>
    </xf>
    <xf numFmtId="0" fontId="8" fillId="0" borderId="0" xfId="0" applyFont="1" applyAlignment="1">
      <alignment horizontal="center" wrapText="1"/>
    </xf>
    <xf numFmtId="0" fontId="9" fillId="0" borderId="0" xfId="0" applyFont="1"/>
    <xf numFmtId="1" fontId="9" fillId="0" borderId="0" xfId="0" applyNumberFormat="1" applyFont="1" applyAlignment="1" applyProtection="1">
      <alignment horizontal="center"/>
    </xf>
    <xf numFmtId="8" fontId="10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  <xf numFmtId="1" fontId="8" fillId="0" borderId="0" xfId="0" applyNumberFormat="1" applyFont="1" applyAlignment="1" applyProtection="1">
      <alignment horizontal="center"/>
    </xf>
    <xf numFmtId="8" fontId="11" fillId="0" borderId="0" xfId="0" applyNumberFormat="1" applyFont="1" applyAlignment="1">
      <alignment horizontal="center"/>
    </xf>
    <xf numFmtId="0" fontId="10" fillId="0" borderId="0" xfId="0" applyFont="1"/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0" fillId="0" borderId="0" xfId="0" applyFont="1" applyBorder="1"/>
    <xf numFmtId="8" fontId="12" fillId="0" borderId="0" xfId="0" applyNumberFormat="1" applyFont="1" applyBorder="1" applyAlignment="1">
      <alignment horizontal="center"/>
    </xf>
    <xf numFmtId="164" fontId="9" fillId="0" borderId="0" xfId="0" applyNumberFormat="1" applyFont="1" applyAlignment="1" applyProtection="1">
      <alignment horizontal="center"/>
    </xf>
    <xf numFmtId="165" fontId="0" fillId="0" borderId="0" xfId="0" applyNumberFormat="1" applyAlignment="1">
      <alignment horizontal="center"/>
    </xf>
    <xf numFmtId="44" fontId="0" fillId="0" borderId="0" xfId="1" applyFont="1" applyAlignment="1">
      <alignment horizontal="right"/>
    </xf>
    <xf numFmtId="8" fontId="0" fillId="0" borderId="0" xfId="0" applyNumberFormat="1"/>
    <xf numFmtId="0" fontId="10" fillId="0" borderId="0" xfId="0" applyFont="1" applyAlignment="1">
      <alignment horizontal="center"/>
    </xf>
    <xf numFmtId="8" fontId="2" fillId="0" borderId="0" xfId="0" applyNumberFormat="1" applyFont="1" applyAlignment="1">
      <alignment horizontal="center"/>
    </xf>
    <xf numFmtId="0" fontId="18" fillId="0" borderId="0" xfId="2" applyFont="1" applyAlignment="1">
      <alignment horizontal="center"/>
    </xf>
    <xf numFmtId="0" fontId="19" fillId="0" borderId="0" xfId="2" applyFont="1" applyAlignment="1" applyProtection="1">
      <alignment horizontal="center"/>
    </xf>
    <xf numFmtId="0" fontId="18" fillId="0" borderId="0" xfId="2" applyFont="1" applyAlignment="1">
      <alignment horizontal="center" wrapText="1"/>
    </xf>
    <xf numFmtId="0" fontId="19" fillId="0" borderId="0" xfId="2" applyFont="1" applyAlignment="1" applyProtection="1">
      <alignment horizontal="center" wrapText="1"/>
    </xf>
    <xf numFmtId="0" fontId="19" fillId="0" borderId="0" xfId="2" applyFont="1" applyAlignment="1">
      <alignment horizontal="center" wrapText="1"/>
    </xf>
    <xf numFmtId="0" fontId="19" fillId="0" borderId="0" xfId="2" applyFont="1" applyAlignment="1">
      <alignment horizontal="center"/>
    </xf>
    <xf numFmtId="165" fontId="18" fillId="0" borderId="0" xfId="2" applyNumberFormat="1" applyFont="1" applyAlignment="1">
      <alignment horizontal="center"/>
    </xf>
    <xf numFmtId="165" fontId="19" fillId="0" borderId="0" xfId="2" applyNumberFormat="1" applyFont="1" applyAlignment="1">
      <alignment horizontal="center"/>
    </xf>
    <xf numFmtId="165" fontId="1" fillId="0" borderId="0" xfId="3" applyNumberFormat="1" applyAlignment="1">
      <alignment horizontal="center"/>
    </xf>
    <xf numFmtId="0" fontId="20" fillId="0" borderId="2" xfId="2" applyFont="1" applyBorder="1" applyAlignment="1">
      <alignment horizontal="center"/>
    </xf>
    <xf numFmtId="0" fontId="20" fillId="0" borderId="5" xfId="2" applyFont="1" applyBorder="1" applyAlignment="1">
      <alignment horizontal="center" wrapText="1"/>
    </xf>
    <xf numFmtId="0" fontId="6" fillId="0" borderId="0" xfId="2" applyFont="1"/>
    <xf numFmtId="0" fontId="20" fillId="0" borderId="0" xfId="2" applyFont="1"/>
    <xf numFmtId="167" fontId="6" fillId="0" borderId="6" xfId="2" applyNumberFormat="1" applyFont="1" applyBorder="1" applyAlignment="1">
      <alignment horizontal="center"/>
    </xf>
    <xf numFmtId="0" fontId="6" fillId="0" borderId="6" xfId="2" applyFont="1" applyBorder="1" applyAlignment="1">
      <alignment horizontal="center"/>
    </xf>
    <xf numFmtId="0" fontId="20" fillId="0" borderId="6" xfId="2" applyFont="1" applyBorder="1"/>
    <xf numFmtId="0" fontId="6" fillId="0" borderId="3" xfId="2" applyFont="1" applyBorder="1" applyAlignment="1">
      <alignment horizontal="center"/>
    </xf>
    <xf numFmtId="0" fontId="6" fillId="0" borderId="4" xfId="2" applyFont="1" applyFill="1" applyBorder="1" applyAlignment="1" applyProtection="1">
      <alignment horizontal="center"/>
      <protection locked="0"/>
    </xf>
    <xf numFmtId="0" fontId="20" fillId="0" borderId="4" xfId="2" applyFont="1" applyFill="1" applyBorder="1"/>
    <xf numFmtId="0" fontId="6" fillId="0" borderId="7" xfId="2" applyFont="1" applyFill="1" applyBorder="1" applyAlignment="1">
      <alignment horizontal="center"/>
    </xf>
    <xf numFmtId="167" fontId="6" fillId="0" borderId="6" xfId="2" applyNumberFormat="1" applyFont="1" applyFill="1" applyBorder="1" applyAlignment="1">
      <alignment horizontal="center"/>
    </xf>
    <xf numFmtId="0" fontId="20" fillId="0" borderId="3" xfId="2" applyFont="1" applyFill="1" applyBorder="1"/>
    <xf numFmtId="0" fontId="20" fillId="0" borderId="6" xfId="2" applyFont="1" applyFill="1" applyBorder="1" applyAlignment="1">
      <alignment horizontal="center"/>
    </xf>
    <xf numFmtId="0" fontId="20" fillId="0" borderId="6" xfId="2" applyFont="1" applyFill="1" applyBorder="1" applyAlignment="1">
      <alignment horizontal="center" wrapText="1"/>
    </xf>
    <xf numFmtId="0" fontId="20" fillId="0" borderId="4" xfId="2" applyFont="1" applyFill="1" applyBorder="1" applyAlignment="1">
      <alignment horizontal="center"/>
    </xf>
    <xf numFmtId="167" fontId="17" fillId="0" borderId="6" xfId="2" applyNumberFormat="1" applyFont="1" applyFill="1" applyBorder="1" applyAlignment="1">
      <alignment horizontal="center"/>
    </xf>
    <xf numFmtId="165" fontId="17" fillId="0" borderId="6" xfId="2" applyNumberFormat="1" applyFont="1" applyFill="1" applyBorder="1" applyAlignment="1">
      <alignment horizontal="center"/>
    </xf>
    <xf numFmtId="165" fontId="6" fillId="0" borderId="6" xfId="2" applyNumberFormat="1" applyFont="1" applyBorder="1" applyAlignment="1">
      <alignment horizontal="center"/>
    </xf>
    <xf numFmtId="167" fontId="20" fillId="0" borderId="4" xfId="2" applyNumberFormat="1" applyFont="1" applyFill="1" applyBorder="1" applyAlignment="1">
      <alignment horizontal="center"/>
    </xf>
    <xf numFmtId="0" fontId="20" fillId="0" borderId="8" xfId="2" applyFont="1" applyFill="1" applyBorder="1"/>
    <xf numFmtId="0" fontId="20" fillId="0" borderId="7" xfId="2" applyFont="1" applyFill="1" applyBorder="1"/>
    <xf numFmtId="167" fontId="17" fillId="0" borderId="5" xfId="2" applyNumberFormat="1" applyFont="1" applyFill="1" applyBorder="1" applyAlignment="1" applyProtection="1">
      <alignment horizontal="center"/>
      <protection locked="0"/>
    </xf>
    <xf numFmtId="165" fontId="17" fillId="0" borderId="5" xfId="2" applyNumberFormat="1" applyFont="1" applyFill="1" applyBorder="1" applyAlignment="1" applyProtection="1">
      <alignment horizontal="center"/>
      <protection locked="0"/>
    </xf>
    <xf numFmtId="167" fontId="6" fillId="0" borderId="5" xfId="2" applyNumberFormat="1" applyFont="1" applyFill="1" applyBorder="1" applyAlignment="1">
      <alignment horizontal="center"/>
    </xf>
    <xf numFmtId="167" fontId="6" fillId="0" borderId="3" xfId="2" applyNumberFormat="1" applyFont="1" applyFill="1" applyBorder="1" applyAlignment="1">
      <alignment horizontal="center"/>
    </xf>
    <xf numFmtId="164" fontId="6" fillId="0" borderId="0" xfId="2" applyNumberFormat="1" applyFont="1" applyFill="1" applyBorder="1" applyAlignment="1">
      <alignment horizontal="center"/>
    </xf>
    <xf numFmtId="0" fontId="6" fillId="0" borderId="0" xfId="2" applyFont="1" applyFill="1" applyBorder="1"/>
    <xf numFmtId="6" fontId="6" fillId="0" borderId="0" xfId="2" applyNumberFormat="1" applyFont="1" applyFill="1" applyBorder="1" applyAlignment="1" applyProtection="1">
      <alignment horizontal="center"/>
      <protection locked="0"/>
    </xf>
    <xf numFmtId="0" fontId="20" fillId="0" borderId="0" xfId="2" applyFont="1" applyFill="1" applyBorder="1" applyAlignment="1">
      <alignment horizontal="center"/>
    </xf>
    <xf numFmtId="0" fontId="4" fillId="0" borderId="0" xfId="0" applyFont="1" applyFill="1" applyAlignment="1">
      <alignment horizontal="center" wrapText="1"/>
    </xf>
    <xf numFmtId="16" fontId="6" fillId="0" borderId="0" xfId="0" applyNumberFormat="1" applyFont="1" applyFill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5" borderId="0" xfId="0" applyFont="1" applyFill="1"/>
    <xf numFmtId="0" fontId="5" fillId="5" borderId="0" xfId="0" applyFont="1" applyFill="1"/>
    <xf numFmtId="16" fontId="6" fillId="5" borderId="0" xfId="0" applyNumberFormat="1" applyFont="1" applyFill="1"/>
    <xf numFmtId="0" fontId="4" fillId="5" borderId="0" xfId="0" applyFont="1" applyFill="1" applyAlignment="1">
      <alignment horizontal="center" wrapText="1"/>
    </xf>
    <xf numFmtId="0" fontId="4" fillId="5" borderId="0" xfId="0" applyFont="1" applyFill="1" applyAlignment="1">
      <alignment horizontal="center"/>
    </xf>
    <xf numFmtId="0" fontId="9" fillId="0" borderId="0" xfId="0" applyFont="1" applyFill="1"/>
    <xf numFmtId="0" fontId="5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44" fontId="3" fillId="5" borderId="0" xfId="1" applyNumberFormat="1" applyFont="1" applyFill="1" applyAlignment="1">
      <alignment horizontal="center" vertical="center" wrapText="1"/>
    </xf>
    <xf numFmtId="0" fontId="13" fillId="0" borderId="0" xfId="0" applyFont="1" applyFill="1" applyAlignment="1">
      <alignment horizontal="right"/>
    </xf>
    <xf numFmtId="8" fontId="0" fillId="0" borderId="0" xfId="0" applyNumberFormat="1" applyAlignment="1">
      <alignment horizontal="center"/>
    </xf>
    <xf numFmtId="0" fontId="21" fillId="0" borderId="0" xfId="0" applyFont="1" applyFill="1" applyAlignment="1">
      <alignment horizontal="center"/>
    </xf>
    <xf numFmtId="164" fontId="10" fillId="0" borderId="0" xfId="0" applyNumberFormat="1" applyFont="1" applyAlignment="1">
      <alignment horizontal="center"/>
    </xf>
    <xf numFmtId="166" fontId="10" fillId="0" borderId="0" xfId="0" applyNumberFormat="1" applyFont="1" applyAlignment="1">
      <alignment horizontal="center"/>
    </xf>
    <xf numFmtId="0" fontId="0" fillId="0" borderId="0" xfId="0" applyAlignment="1">
      <alignment horizontal="center" vertical="center" wrapText="1"/>
    </xf>
    <xf numFmtId="0" fontId="4" fillId="5" borderId="9" xfId="0" applyFont="1" applyFill="1" applyBorder="1"/>
    <xf numFmtId="0" fontId="5" fillId="5" borderId="9" xfId="0" applyFont="1" applyFill="1" applyBorder="1"/>
    <xf numFmtId="16" fontId="6" fillId="5" borderId="9" xfId="0" applyNumberFormat="1" applyFont="1" applyFill="1" applyBorder="1"/>
    <xf numFmtId="0" fontId="4" fillId="5" borderId="9" xfId="0" applyFont="1" applyFill="1" applyBorder="1" applyAlignment="1">
      <alignment horizontal="center" wrapText="1"/>
    </xf>
    <xf numFmtId="0" fontId="4" fillId="5" borderId="9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8" fontId="3" fillId="5" borderId="9" xfId="1" applyNumberFormat="1" applyFont="1" applyFill="1" applyBorder="1" applyAlignment="1">
      <alignment horizontal="center" vertical="center" wrapText="1"/>
    </xf>
    <xf numFmtId="0" fontId="6" fillId="0" borderId="7" xfId="2" applyFont="1" applyBorder="1" applyAlignment="1">
      <alignment horizontal="center"/>
    </xf>
    <xf numFmtId="0" fontId="6" fillId="0" borderId="2" xfId="2" applyFont="1" applyFill="1" applyBorder="1" applyAlignment="1" applyProtection="1">
      <alignment horizontal="center"/>
      <protection locked="0"/>
    </xf>
    <xf numFmtId="167" fontId="17" fillId="0" borderId="5" xfId="2" applyNumberFormat="1" applyFont="1" applyFill="1" applyBorder="1" applyAlignment="1">
      <alignment horizontal="center"/>
    </xf>
    <xf numFmtId="165" fontId="17" fillId="0" borderId="5" xfId="2" applyNumberFormat="1" applyFont="1" applyFill="1" applyBorder="1" applyAlignment="1">
      <alignment horizontal="center"/>
    </xf>
    <xf numFmtId="2" fontId="6" fillId="0" borderId="1" xfId="2" applyNumberFormat="1" applyFont="1" applyFill="1" applyBorder="1" applyAlignment="1" applyProtection="1">
      <alignment horizontal="center"/>
      <protection locked="0"/>
    </xf>
    <xf numFmtId="2" fontId="6" fillId="0" borderId="8" xfId="2" applyNumberFormat="1" applyFont="1" applyFill="1" applyBorder="1" applyAlignment="1" applyProtection="1">
      <alignment horizontal="center"/>
      <protection locked="0"/>
    </xf>
    <xf numFmtId="0" fontId="6" fillId="0" borderId="8" xfId="2" applyFont="1" applyFill="1" applyBorder="1" applyAlignment="1" applyProtection="1">
      <alignment horizontal="center"/>
      <protection locked="0"/>
    </xf>
    <xf numFmtId="165" fontId="20" fillId="0" borderId="6" xfId="2" applyNumberFormat="1" applyFont="1" applyBorder="1" applyAlignment="1">
      <alignment horizontal="center"/>
    </xf>
    <xf numFmtId="165" fontId="6" fillId="0" borderId="6" xfId="2" applyNumberFormat="1" applyFont="1" applyFill="1" applyBorder="1" applyAlignment="1">
      <alignment horizontal="center"/>
    </xf>
    <xf numFmtId="2" fontId="9" fillId="0" borderId="0" xfId="0" applyNumberFormat="1" applyFont="1" applyAlignment="1" applyProtection="1">
      <alignment horizontal="center"/>
    </xf>
    <xf numFmtId="2" fontId="8" fillId="0" borderId="0" xfId="0" applyNumberFormat="1" applyFont="1" applyAlignment="1" applyProtection="1">
      <alignment horizontal="center"/>
    </xf>
    <xf numFmtId="164" fontId="18" fillId="0" borderId="0" xfId="2" applyNumberFormat="1" applyFont="1" applyAlignment="1" applyProtection="1">
      <alignment horizontal="center"/>
    </xf>
    <xf numFmtId="164" fontId="18" fillId="0" borderId="0" xfId="2" applyNumberFormat="1" applyFont="1" applyAlignment="1">
      <alignment horizontal="center"/>
    </xf>
    <xf numFmtId="164" fontId="1" fillId="0" borderId="0" xfId="3" applyNumberFormat="1" applyAlignment="1">
      <alignment horizontal="center"/>
    </xf>
    <xf numFmtId="164" fontId="19" fillId="0" borderId="0" xfId="2" applyNumberFormat="1" applyFont="1" applyAlignment="1" applyProtection="1">
      <alignment horizontal="center"/>
    </xf>
    <xf numFmtId="166" fontId="18" fillId="0" borderId="0" xfId="2" applyNumberFormat="1" applyFont="1" applyAlignment="1">
      <alignment horizontal="center"/>
    </xf>
    <xf numFmtId="164" fontId="1" fillId="0" borderId="0" xfId="3" applyNumberFormat="1" applyFill="1" applyAlignment="1">
      <alignment horizontal="center"/>
    </xf>
    <xf numFmtId="0" fontId="18" fillId="4" borderId="0" xfId="2" applyFont="1" applyFill="1" applyAlignment="1">
      <alignment horizontal="left"/>
    </xf>
    <xf numFmtId="0" fontId="18" fillId="4" borderId="0" xfId="2" applyFont="1" applyFill="1" applyAlignment="1">
      <alignment horizontal="center"/>
    </xf>
    <xf numFmtId="0" fontId="20" fillId="0" borderId="0" xfId="0" applyFont="1" applyAlignment="1" applyProtection="1">
      <alignment horizontal="center"/>
    </xf>
    <xf numFmtId="0" fontId="20" fillId="0" borderId="0" xfId="0" applyFont="1" applyAlignment="1" applyProtection="1">
      <alignment horizontal="center" wrapText="1"/>
    </xf>
    <xf numFmtId="0" fontId="6" fillId="0" borderId="0" xfId="0" applyFont="1" applyAlignment="1" applyProtection="1">
      <alignment horizontal="left"/>
    </xf>
    <xf numFmtId="166" fontId="6" fillId="0" borderId="0" xfId="0" applyNumberFormat="1" applyFont="1" applyAlignment="1" applyProtection="1">
      <alignment horizontal="center"/>
    </xf>
    <xf numFmtId="166" fontId="20" fillId="0" borderId="0" xfId="0" applyNumberFormat="1" applyFont="1" applyAlignment="1" applyProtection="1">
      <alignment horizontal="center"/>
    </xf>
    <xf numFmtId="0" fontId="6" fillId="6" borderId="0" xfId="0" applyFont="1" applyFill="1" applyAlignment="1" applyProtection="1">
      <alignment horizontal="left"/>
    </xf>
    <xf numFmtId="0" fontId="0" fillId="6" borderId="0" xfId="0" applyFill="1"/>
    <xf numFmtId="1" fontId="6" fillId="6" borderId="0" xfId="0" applyNumberFormat="1" applyFont="1" applyFill="1" applyAlignment="1" applyProtection="1">
      <alignment horizontal="center"/>
    </xf>
    <xf numFmtId="0" fontId="6" fillId="6" borderId="0" xfId="0" applyFont="1" applyFill="1" applyAlignment="1" applyProtection="1">
      <alignment horizontal="center"/>
    </xf>
    <xf numFmtId="165" fontId="8" fillId="0" borderId="0" xfId="0" applyNumberFormat="1" applyFont="1" applyAlignment="1" applyProtection="1">
      <alignment horizontal="center"/>
    </xf>
    <xf numFmtId="0" fontId="0" fillId="6" borderId="0" xfId="0" applyFill="1" applyAlignment="1">
      <alignment horizontal="center"/>
    </xf>
    <xf numFmtId="164" fontId="0" fillId="6" borderId="0" xfId="0" applyNumberFormat="1" applyFill="1" applyAlignment="1">
      <alignment horizontal="center"/>
    </xf>
    <xf numFmtId="165" fontId="18" fillId="6" borderId="0" xfId="2" applyNumberFormat="1" applyFont="1" applyFill="1" applyAlignment="1">
      <alignment horizontal="center"/>
    </xf>
    <xf numFmtId="164" fontId="18" fillId="6" borderId="0" xfId="2" applyNumberFormat="1" applyFont="1" applyFill="1" applyAlignment="1">
      <alignment horizontal="center"/>
    </xf>
    <xf numFmtId="0" fontId="19" fillId="0" borderId="0" xfId="2" applyFont="1" applyFill="1" applyAlignment="1">
      <alignment horizontal="center" wrapText="1"/>
    </xf>
    <xf numFmtId="168" fontId="0" fillId="6" borderId="0" xfId="0" applyNumberFormat="1" applyFill="1"/>
    <xf numFmtId="168" fontId="18" fillId="0" borderId="0" xfId="2" applyNumberFormat="1" applyFont="1" applyAlignment="1">
      <alignment horizontal="center"/>
    </xf>
    <xf numFmtId="168" fontId="18" fillId="0" borderId="0" xfId="2" applyNumberFormat="1" applyFont="1" applyAlignment="1" applyProtection="1">
      <alignment horizontal="center"/>
    </xf>
    <xf numFmtId="168" fontId="1" fillId="0" borderId="0" xfId="3" applyNumberFormat="1" applyFill="1" applyAlignment="1">
      <alignment horizontal="center"/>
    </xf>
    <xf numFmtId="168" fontId="1" fillId="0" borderId="0" xfId="3" applyNumberFormat="1" applyAlignment="1">
      <alignment horizontal="center"/>
    </xf>
    <xf numFmtId="168" fontId="18" fillId="6" borderId="0" xfId="2" applyNumberFormat="1" applyFont="1" applyFill="1" applyAlignment="1" applyProtection="1">
      <alignment horizontal="center"/>
    </xf>
    <xf numFmtId="168" fontId="11" fillId="0" borderId="0" xfId="0" applyNumberFormat="1" applyFont="1" applyAlignment="1">
      <alignment horizontal="center"/>
    </xf>
    <xf numFmtId="165" fontId="0" fillId="0" borderId="0" xfId="0" applyNumberFormat="1"/>
    <xf numFmtId="166" fontId="18" fillId="6" borderId="0" xfId="2" applyNumberFormat="1" applyFont="1" applyFill="1" applyAlignment="1">
      <alignment horizontal="center"/>
    </xf>
    <xf numFmtId="166" fontId="0" fillId="6" borderId="0" xfId="0" applyNumberFormat="1" applyFill="1" applyAlignment="1">
      <alignment horizontal="center"/>
    </xf>
    <xf numFmtId="166" fontId="0" fillId="0" borderId="0" xfId="0" applyNumberFormat="1" applyAlignment="1">
      <alignment horizontal="center"/>
    </xf>
    <xf numFmtId="0" fontId="20" fillId="0" borderId="3" xfId="2" applyFont="1" applyBorder="1" applyAlignment="1">
      <alignment horizontal="center" wrapText="1"/>
    </xf>
    <xf numFmtId="0" fontId="20" fillId="0" borderId="4" xfId="2" applyFont="1" applyBorder="1" applyAlignment="1">
      <alignment horizontal="center" wrapText="1"/>
    </xf>
    <xf numFmtId="0" fontId="20" fillId="0" borderId="3" xfId="2" applyFont="1" applyFill="1" applyBorder="1" applyAlignment="1">
      <alignment horizontal="center"/>
    </xf>
    <xf numFmtId="0" fontId="20" fillId="0" borderId="6" xfId="2" applyFont="1" applyFill="1" applyBorder="1" applyAlignment="1">
      <alignment horizontal="center"/>
    </xf>
    <xf numFmtId="0" fontId="20" fillId="0" borderId="4" xfId="2" applyFont="1" applyFill="1" applyBorder="1" applyAlignment="1">
      <alignment horizontal="center"/>
    </xf>
  </cellXfs>
  <cellStyles count="4">
    <cellStyle name="Currency" xfId="1" builtinId="4"/>
    <cellStyle name="Normal" xfId="0" builtinId="0"/>
    <cellStyle name="Normal 2" xfId="2"/>
    <cellStyle name="Normal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abSelected="1" zoomScale="60" zoomScaleNormal="60" workbookViewId="0">
      <pane ySplit="1" topLeftCell="A5" activePane="bottomLeft" state="frozen"/>
      <selection pane="bottomLeft" activeCell="A25" sqref="A25:XFD25"/>
    </sheetView>
  </sheetViews>
  <sheetFormatPr defaultColWidth="8.88671875" defaultRowHeight="15.6" x14ac:dyDescent="0.3"/>
  <cols>
    <col min="1" max="1" width="8.88671875" style="2"/>
    <col min="2" max="2" width="23.6640625" style="3" customWidth="1"/>
    <col min="3" max="3" width="11.6640625" style="2" customWidth="1"/>
    <col min="4" max="4" width="12.5546875" style="4" customWidth="1"/>
    <col min="5" max="5" width="12.109375" style="4" customWidth="1"/>
    <col min="6" max="6" width="9.88671875" style="4" customWidth="1"/>
    <col min="7" max="7" width="12.6640625" style="4" customWidth="1"/>
    <col min="8" max="8" width="13.33203125" style="4" customWidth="1"/>
    <col min="9" max="9" width="11.109375" style="4" customWidth="1"/>
    <col min="10" max="10" width="14.44140625" style="4" customWidth="1"/>
    <col min="11" max="11" width="15.44140625" style="5" customWidth="1"/>
    <col min="12" max="12" width="11.109375" style="88" customWidth="1"/>
    <col min="13" max="13" width="14" style="4" customWidth="1"/>
    <col min="14" max="14" width="13" style="4" customWidth="1"/>
    <col min="15" max="15" width="11.6640625" style="4" customWidth="1"/>
    <col min="16" max="16" width="14.109375" style="4" customWidth="1"/>
    <col min="17" max="16384" width="8.88671875" style="2"/>
  </cols>
  <sheetData>
    <row r="1" spans="1:16" s="3" customFormat="1" ht="85.95" customHeight="1" x14ac:dyDescent="0.3">
      <c r="B1" s="3" t="s">
        <v>12</v>
      </c>
      <c r="C1" s="3" t="s">
        <v>11</v>
      </c>
      <c r="D1" s="6" t="s">
        <v>0</v>
      </c>
      <c r="E1" s="6" t="s">
        <v>27</v>
      </c>
      <c r="F1" s="6" t="s">
        <v>5</v>
      </c>
      <c r="G1" s="6" t="s">
        <v>1</v>
      </c>
      <c r="H1" s="6" t="s">
        <v>2</v>
      </c>
      <c r="I1" s="6" t="s">
        <v>28</v>
      </c>
      <c r="J1" s="6" t="s">
        <v>30</v>
      </c>
      <c r="K1" s="8" t="s">
        <v>4</v>
      </c>
      <c r="L1" s="6" t="s">
        <v>107</v>
      </c>
      <c r="M1" s="6" t="s">
        <v>10</v>
      </c>
      <c r="N1" s="6" t="s">
        <v>9</v>
      </c>
      <c r="O1" s="6" t="s">
        <v>3</v>
      </c>
      <c r="P1" s="6" t="s">
        <v>8</v>
      </c>
    </row>
    <row r="2" spans="1:16" s="3" customFormat="1" ht="23.4" customHeight="1" x14ac:dyDescent="0.3">
      <c r="B2" s="3" t="s">
        <v>29</v>
      </c>
      <c r="C2" s="87">
        <v>40800</v>
      </c>
      <c r="D2" s="4"/>
      <c r="E2" s="4"/>
      <c r="F2" s="16">
        <v>25</v>
      </c>
      <c r="G2" s="4"/>
      <c r="H2" s="4"/>
      <c r="I2" s="6">
        <f t="shared" ref="I2:I3" si="0">SUM(D2:H2)</f>
        <v>25</v>
      </c>
      <c r="J2" s="7"/>
      <c r="K2" s="8"/>
      <c r="L2" s="6"/>
      <c r="M2" s="4"/>
      <c r="N2" s="4"/>
      <c r="O2" s="4">
        <v>40</v>
      </c>
      <c r="P2" s="7"/>
    </row>
    <row r="3" spans="1:16" s="3" customFormat="1" ht="23.4" customHeight="1" x14ac:dyDescent="0.3">
      <c r="B3" s="3" t="s">
        <v>16</v>
      </c>
      <c r="C3" s="87">
        <v>40800</v>
      </c>
      <c r="D3" s="16">
        <v>60</v>
      </c>
      <c r="E3" s="4"/>
      <c r="F3" s="4"/>
      <c r="G3" s="4"/>
      <c r="H3" s="4"/>
      <c r="I3" s="6">
        <f t="shared" si="0"/>
        <v>60</v>
      </c>
      <c r="J3" s="7"/>
      <c r="K3" s="8"/>
      <c r="L3" s="6"/>
      <c r="M3" s="4"/>
      <c r="N3" s="4"/>
      <c r="O3" s="4"/>
      <c r="P3" s="7"/>
    </row>
    <row r="4" spans="1:16" ht="23.4" customHeight="1" x14ac:dyDescent="0.3">
      <c r="B4" s="3" t="s">
        <v>6</v>
      </c>
      <c r="C4" s="87">
        <v>40814</v>
      </c>
      <c r="D4" s="4">
        <v>11.5</v>
      </c>
      <c r="E4" s="4">
        <v>4.5</v>
      </c>
      <c r="F4" s="4">
        <v>4.5</v>
      </c>
      <c r="H4" s="4">
        <v>2</v>
      </c>
      <c r="I4" s="6">
        <f>SUM(D4:H4)</f>
        <v>22.5</v>
      </c>
      <c r="K4" s="10"/>
      <c r="M4" s="4">
        <v>2</v>
      </c>
      <c r="N4" s="4">
        <v>1</v>
      </c>
      <c r="O4" s="4">
        <v>7.4</v>
      </c>
      <c r="P4" s="4">
        <v>614</v>
      </c>
    </row>
    <row r="5" spans="1:16" ht="23.4" customHeight="1" x14ac:dyDescent="0.3">
      <c r="B5" s="3" t="s">
        <v>7</v>
      </c>
      <c r="C5" s="87">
        <v>40814</v>
      </c>
      <c r="D5" s="4">
        <v>11.5</v>
      </c>
      <c r="E5" s="4">
        <v>4.5</v>
      </c>
      <c r="F5" s="4">
        <v>4.5</v>
      </c>
      <c r="H5" s="4">
        <v>2</v>
      </c>
      <c r="I5" s="6">
        <f t="shared" ref="I5:I35" si="1">SUM(D5:H5)</f>
        <v>22.5</v>
      </c>
      <c r="K5" s="10"/>
      <c r="M5" s="4">
        <v>2</v>
      </c>
      <c r="N5" s="4">
        <v>1</v>
      </c>
      <c r="O5" s="4">
        <v>7.4</v>
      </c>
      <c r="P5" s="4">
        <v>614</v>
      </c>
    </row>
    <row r="6" spans="1:16" ht="23.4" customHeight="1" x14ac:dyDescent="0.3">
      <c r="B6" s="3" t="s">
        <v>6</v>
      </c>
      <c r="C6" s="87">
        <v>40814</v>
      </c>
      <c r="G6" s="4">
        <v>21</v>
      </c>
      <c r="I6" s="6">
        <f t="shared" si="1"/>
        <v>21</v>
      </c>
      <c r="K6" s="10"/>
      <c r="M6" s="4">
        <v>2</v>
      </c>
      <c r="N6" s="4">
        <v>1</v>
      </c>
      <c r="O6" s="4">
        <v>18</v>
      </c>
      <c r="P6" s="4">
        <v>614</v>
      </c>
    </row>
    <row r="7" spans="1:16" ht="23.4" customHeight="1" x14ac:dyDescent="0.3">
      <c r="B7" s="3" t="s">
        <v>6</v>
      </c>
      <c r="C7" s="87">
        <v>40814</v>
      </c>
      <c r="F7" s="4">
        <v>22</v>
      </c>
      <c r="I7" s="6">
        <f t="shared" si="1"/>
        <v>22</v>
      </c>
      <c r="J7" s="4">
        <f>16.7+15.41</f>
        <v>32.11</v>
      </c>
      <c r="K7" s="10">
        <v>256.88</v>
      </c>
      <c r="L7" s="88">
        <v>384146</v>
      </c>
      <c r="M7" s="4">
        <v>1</v>
      </c>
      <c r="N7" s="4">
        <v>1</v>
      </c>
      <c r="P7" s="4">
        <v>614</v>
      </c>
    </row>
    <row r="8" spans="1:16" ht="23.4" customHeight="1" x14ac:dyDescent="0.3">
      <c r="B8" s="3" t="s">
        <v>7</v>
      </c>
      <c r="C8" s="87">
        <v>40814</v>
      </c>
      <c r="G8" s="4">
        <v>60</v>
      </c>
      <c r="I8" s="6">
        <f t="shared" si="1"/>
        <v>60</v>
      </c>
      <c r="K8" s="10"/>
      <c r="M8" s="4">
        <v>1</v>
      </c>
      <c r="N8" s="4">
        <v>1</v>
      </c>
      <c r="O8" s="4">
        <v>45.6</v>
      </c>
      <c r="P8" s="4">
        <v>614</v>
      </c>
    </row>
    <row r="9" spans="1:16" ht="23.4" customHeight="1" x14ac:dyDescent="0.3">
      <c r="B9" s="3" t="s">
        <v>7</v>
      </c>
      <c r="C9" s="87">
        <v>40814</v>
      </c>
      <c r="F9" s="4">
        <v>15</v>
      </c>
      <c r="I9" s="6">
        <f t="shared" si="1"/>
        <v>15</v>
      </c>
      <c r="J9" s="4">
        <f>50+2.97+8.77+8.52+10.3</f>
        <v>80.559999999999988</v>
      </c>
      <c r="K9" s="10">
        <v>386.65</v>
      </c>
      <c r="L9" s="88">
        <v>384147</v>
      </c>
      <c r="M9" s="4">
        <v>1</v>
      </c>
      <c r="N9" s="4">
        <v>1</v>
      </c>
      <c r="O9" s="4">
        <v>20.399999999999999</v>
      </c>
      <c r="P9" s="4">
        <v>614</v>
      </c>
    </row>
    <row r="10" spans="1:16" ht="23.4" customHeight="1" x14ac:dyDescent="0.3">
      <c r="B10" s="3" t="s">
        <v>13</v>
      </c>
      <c r="C10" s="87">
        <v>40814</v>
      </c>
      <c r="D10" s="16">
        <v>20</v>
      </c>
      <c r="I10" s="6">
        <f t="shared" si="1"/>
        <v>20</v>
      </c>
      <c r="K10" s="10"/>
      <c r="O10" s="4">
        <v>20</v>
      </c>
    </row>
    <row r="11" spans="1:16" ht="23.4" customHeight="1" x14ac:dyDescent="0.3">
      <c r="A11" s="2" t="s">
        <v>108</v>
      </c>
      <c r="B11" s="3" t="s">
        <v>25</v>
      </c>
      <c r="C11" s="87">
        <v>40816</v>
      </c>
      <c r="D11" s="16">
        <v>12</v>
      </c>
      <c r="E11" s="16">
        <v>5</v>
      </c>
      <c r="F11" s="16">
        <v>5</v>
      </c>
      <c r="G11" s="16">
        <v>50</v>
      </c>
      <c r="H11" s="16">
        <v>2</v>
      </c>
      <c r="I11" s="6">
        <f t="shared" si="1"/>
        <v>74</v>
      </c>
      <c r="J11" s="20">
        <v>10</v>
      </c>
      <c r="K11" s="10">
        <v>25</v>
      </c>
      <c r="L11" s="88">
        <v>384148</v>
      </c>
      <c r="M11" s="20"/>
      <c r="N11" s="20"/>
      <c r="O11" s="20"/>
      <c r="P11" s="20"/>
    </row>
    <row r="12" spans="1:16" ht="23.4" customHeight="1" x14ac:dyDescent="0.3">
      <c r="A12" s="2" t="s">
        <v>109</v>
      </c>
      <c r="B12" s="3" t="s">
        <v>14</v>
      </c>
      <c r="C12" s="87">
        <v>40816</v>
      </c>
      <c r="D12" s="16">
        <v>12</v>
      </c>
      <c r="E12" s="16">
        <v>5</v>
      </c>
      <c r="F12" s="16">
        <v>5</v>
      </c>
      <c r="G12" s="16">
        <v>50</v>
      </c>
      <c r="H12" s="16">
        <v>2</v>
      </c>
      <c r="I12" s="6">
        <f t="shared" si="1"/>
        <v>74</v>
      </c>
      <c r="J12" s="20">
        <f>28+6.04+5.38+5.35+5.64+6+5.43+2.43</f>
        <v>64.27000000000001</v>
      </c>
      <c r="K12" s="10">
        <v>192.81</v>
      </c>
      <c r="L12" s="88">
        <v>384145</v>
      </c>
      <c r="M12" s="20"/>
      <c r="N12" s="20"/>
      <c r="O12" s="20"/>
      <c r="P12" s="20"/>
    </row>
    <row r="13" spans="1:16" ht="23.4" customHeight="1" x14ac:dyDescent="0.3">
      <c r="A13" s="2" t="s">
        <v>108</v>
      </c>
      <c r="B13" s="3" t="s">
        <v>15</v>
      </c>
      <c r="C13" s="87">
        <v>40820</v>
      </c>
      <c r="D13" s="16">
        <v>20</v>
      </c>
      <c r="E13" s="16">
        <v>5</v>
      </c>
      <c r="F13" s="16">
        <v>5</v>
      </c>
      <c r="G13" s="16">
        <v>20</v>
      </c>
      <c r="H13" s="16">
        <v>2</v>
      </c>
      <c r="I13" s="6">
        <f t="shared" si="1"/>
        <v>52</v>
      </c>
      <c r="J13" s="20">
        <f>25+6.53+3.68+3.04+4.36</f>
        <v>42.61</v>
      </c>
      <c r="K13" s="10">
        <v>185.12</v>
      </c>
      <c r="L13" s="88">
        <v>384150</v>
      </c>
      <c r="M13" s="20"/>
      <c r="N13" s="20"/>
      <c r="O13" s="20"/>
      <c r="P13" s="20"/>
    </row>
    <row r="14" spans="1:16" ht="23.4" customHeight="1" x14ac:dyDescent="0.3">
      <c r="A14" s="2" t="s">
        <v>108</v>
      </c>
      <c r="B14" s="3" t="s">
        <v>14</v>
      </c>
      <c r="C14" s="87">
        <v>40823</v>
      </c>
      <c r="D14" s="16">
        <v>20</v>
      </c>
      <c r="E14" s="16">
        <v>5</v>
      </c>
      <c r="F14" s="16">
        <v>5</v>
      </c>
      <c r="G14" s="16">
        <v>40</v>
      </c>
      <c r="H14" s="16">
        <v>2</v>
      </c>
      <c r="I14" s="6">
        <f t="shared" si="1"/>
        <v>72</v>
      </c>
      <c r="J14" s="20">
        <f>56+11.98+5.75+5.52+6.94</f>
        <v>86.19</v>
      </c>
      <c r="K14" s="10">
        <v>273.55</v>
      </c>
      <c r="L14" s="88">
        <v>581551</v>
      </c>
      <c r="M14" s="20"/>
      <c r="N14" s="20"/>
      <c r="O14" s="20"/>
      <c r="P14" s="20"/>
    </row>
    <row r="15" spans="1:16" ht="23.4" customHeight="1" x14ac:dyDescent="0.3">
      <c r="A15" s="2" t="s">
        <v>108</v>
      </c>
      <c r="B15" s="3" t="s">
        <v>110</v>
      </c>
      <c r="C15" s="87">
        <v>40826</v>
      </c>
      <c r="D15" s="16">
        <v>20</v>
      </c>
      <c r="E15" s="16">
        <v>5</v>
      </c>
      <c r="F15" s="20"/>
      <c r="G15" s="16">
        <v>20</v>
      </c>
      <c r="H15" s="16">
        <v>2</v>
      </c>
      <c r="I15" s="6">
        <f t="shared" si="1"/>
        <v>47</v>
      </c>
      <c r="J15" s="20">
        <v>15</v>
      </c>
      <c r="K15" s="10">
        <v>45</v>
      </c>
      <c r="L15" s="88">
        <v>581552</v>
      </c>
      <c r="M15" s="20"/>
      <c r="N15" s="20"/>
      <c r="O15" s="20"/>
      <c r="P15" s="20"/>
    </row>
    <row r="16" spans="1:16" ht="23.4" customHeight="1" x14ac:dyDescent="0.3">
      <c r="A16" s="2" t="s">
        <v>108</v>
      </c>
      <c r="B16" s="3" t="s">
        <v>7</v>
      </c>
      <c r="C16" s="87">
        <v>40827</v>
      </c>
      <c r="D16" s="16">
        <v>20</v>
      </c>
      <c r="E16" s="16">
        <v>5</v>
      </c>
      <c r="F16" s="16">
        <v>5</v>
      </c>
      <c r="G16" s="16">
        <v>50</v>
      </c>
      <c r="H16" s="16">
        <v>2</v>
      </c>
      <c r="I16" s="6">
        <f t="shared" si="1"/>
        <v>82</v>
      </c>
      <c r="J16" s="20">
        <v>100</v>
      </c>
      <c r="K16" s="10">
        <v>300</v>
      </c>
      <c r="L16" s="88">
        <v>581553</v>
      </c>
      <c r="M16" s="20"/>
      <c r="N16" s="20"/>
      <c r="O16" s="20"/>
      <c r="P16" s="20"/>
    </row>
    <row r="17" spans="1:16" s="90" customFormat="1" ht="31.2" customHeight="1" x14ac:dyDescent="0.3">
      <c r="B17" s="91"/>
      <c r="C17" s="92"/>
      <c r="D17" s="96">
        <f>SUM(D2:D16)</f>
        <v>207</v>
      </c>
      <c r="E17" s="96">
        <f t="shared" ref="E17:H17" si="2">SUM(E2:E16)</f>
        <v>39</v>
      </c>
      <c r="F17" s="96">
        <f t="shared" si="2"/>
        <v>96</v>
      </c>
      <c r="G17" s="96">
        <f t="shared" si="2"/>
        <v>311</v>
      </c>
      <c r="H17" s="96">
        <f t="shared" si="2"/>
        <v>16</v>
      </c>
      <c r="I17" s="96">
        <f>SUM(I2:I16)</f>
        <v>669</v>
      </c>
      <c r="J17" s="97">
        <f>SUM(J3:J16)</f>
        <v>430.74</v>
      </c>
      <c r="K17" s="98">
        <f>SUM(K3:K16)</f>
        <v>1665.01</v>
      </c>
      <c r="L17" s="94"/>
      <c r="M17" s="93"/>
      <c r="N17" s="93"/>
      <c r="O17" s="93"/>
      <c r="P17" s="93"/>
    </row>
    <row r="18" spans="1:16" ht="23.4" customHeight="1" x14ac:dyDescent="0.3">
      <c r="A18" s="2" t="s">
        <v>108</v>
      </c>
      <c r="B18" s="3" t="s">
        <v>6</v>
      </c>
      <c r="C18" s="87">
        <v>40828</v>
      </c>
      <c r="D18" s="16">
        <v>10</v>
      </c>
      <c r="E18" s="20"/>
      <c r="F18" s="16">
        <v>4</v>
      </c>
      <c r="G18" s="16">
        <v>15</v>
      </c>
      <c r="H18" s="20"/>
      <c r="I18" s="6">
        <f t="shared" si="1"/>
        <v>29</v>
      </c>
      <c r="J18" s="20">
        <f>14.43+14.79+150</f>
        <v>179.22</v>
      </c>
      <c r="K18" s="10">
        <v>683.76</v>
      </c>
      <c r="L18" s="88">
        <v>581554</v>
      </c>
      <c r="M18" s="20"/>
      <c r="N18" s="20"/>
      <c r="O18" s="20"/>
      <c r="P18" s="20"/>
    </row>
    <row r="19" spans="1:16" ht="23.4" customHeight="1" x14ac:dyDescent="0.3">
      <c r="A19" s="2" t="s">
        <v>108</v>
      </c>
      <c r="B19" s="3" t="s">
        <v>26</v>
      </c>
      <c r="C19" s="87">
        <v>40828</v>
      </c>
      <c r="D19" s="16">
        <v>10</v>
      </c>
      <c r="E19" s="20"/>
      <c r="F19" s="16">
        <v>4</v>
      </c>
      <c r="G19" s="16">
        <v>15</v>
      </c>
      <c r="H19" s="20"/>
      <c r="I19" s="6">
        <f t="shared" si="1"/>
        <v>29</v>
      </c>
      <c r="J19" s="20">
        <f>5.18+5.09+10.27+8.43+10.14+1.05+0.79+0.87+1+0.66+0.96+1.25+0.93+1.24+0.94+0.9</f>
        <v>49.699999999999989</v>
      </c>
      <c r="K19" s="10">
        <v>353.91</v>
      </c>
      <c r="L19" s="88">
        <v>581555</v>
      </c>
      <c r="M19" s="20"/>
      <c r="N19" s="20"/>
      <c r="O19" s="20"/>
      <c r="P19" s="20"/>
    </row>
    <row r="20" spans="1:16" ht="23.4" customHeight="1" x14ac:dyDescent="0.3">
      <c r="B20" s="3" t="s">
        <v>14</v>
      </c>
      <c r="C20" s="14">
        <v>40829</v>
      </c>
      <c r="G20" s="4">
        <v>37.5</v>
      </c>
      <c r="I20" s="6">
        <f t="shared" si="1"/>
        <v>37.5</v>
      </c>
      <c r="J20" s="4">
        <f>106+5.14+5.72+5.22+6.94+6.29+9.69+5.23</f>
        <v>150.22999999999999</v>
      </c>
      <c r="K20" s="10">
        <v>479.34</v>
      </c>
      <c r="L20" s="88">
        <v>581558</v>
      </c>
      <c r="M20" s="4">
        <v>2</v>
      </c>
      <c r="O20" s="4">
        <v>13.5</v>
      </c>
      <c r="P20" s="4">
        <v>614</v>
      </c>
    </row>
    <row r="21" spans="1:16" ht="23.4" customHeight="1" x14ac:dyDescent="0.3">
      <c r="B21" s="3" t="s">
        <v>15</v>
      </c>
      <c r="C21" s="14">
        <v>40829</v>
      </c>
      <c r="G21" s="4">
        <v>37.5</v>
      </c>
      <c r="I21" s="6">
        <f t="shared" si="1"/>
        <v>37.5</v>
      </c>
      <c r="J21" s="4">
        <f>7.93+5.37+1.19+50</f>
        <v>64.489999999999995</v>
      </c>
      <c r="K21" s="10">
        <v>190.9</v>
      </c>
      <c r="L21" s="88">
        <v>581559</v>
      </c>
      <c r="M21" s="4">
        <v>2</v>
      </c>
      <c r="O21" s="4">
        <v>13.5</v>
      </c>
      <c r="P21" s="4">
        <v>614</v>
      </c>
    </row>
    <row r="22" spans="1:16" ht="23.4" customHeight="1" x14ac:dyDescent="0.3">
      <c r="B22" s="3" t="s">
        <v>16</v>
      </c>
      <c r="C22" s="14">
        <v>40829</v>
      </c>
      <c r="D22" s="4">
        <v>30</v>
      </c>
      <c r="F22" s="4">
        <v>15</v>
      </c>
      <c r="I22" s="6">
        <f t="shared" si="1"/>
        <v>45</v>
      </c>
      <c r="K22" s="10"/>
      <c r="N22" s="4">
        <v>3</v>
      </c>
      <c r="O22" s="4">
        <v>11.6</v>
      </c>
      <c r="P22" s="4" t="s">
        <v>17</v>
      </c>
    </row>
    <row r="23" spans="1:16" ht="23.4" customHeight="1" x14ac:dyDescent="0.3">
      <c r="B23" s="3" t="s">
        <v>18</v>
      </c>
      <c r="C23" s="14">
        <v>40829</v>
      </c>
      <c r="G23" s="4">
        <v>37.5</v>
      </c>
      <c r="I23" s="6">
        <f t="shared" si="1"/>
        <v>37.5</v>
      </c>
      <c r="J23" s="4">
        <v>30</v>
      </c>
      <c r="K23" s="10">
        <v>90</v>
      </c>
      <c r="L23" s="88">
        <v>581556</v>
      </c>
      <c r="M23" s="4">
        <v>2</v>
      </c>
      <c r="N23" s="4">
        <v>3</v>
      </c>
      <c r="P23" s="4" t="s">
        <v>17</v>
      </c>
    </row>
    <row r="24" spans="1:16" ht="23.4" customHeight="1" x14ac:dyDescent="0.3">
      <c r="B24" s="3" t="s">
        <v>7</v>
      </c>
      <c r="C24" s="14">
        <v>40829</v>
      </c>
      <c r="G24" s="4">
        <v>37.5</v>
      </c>
      <c r="I24" s="6">
        <f t="shared" si="1"/>
        <v>37.5</v>
      </c>
      <c r="J24" s="4">
        <f>50+8.18+8.44+9.13+8.24+4.35+4.95+5.22+1.35+1.13+1.79+1.83+1.54+1.55</f>
        <v>107.69999999999999</v>
      </c>
      <c r="K24" s="10">
        <v>588.80999999999995</v>
      </c>
      <c r="L24" s="88">
        <v>581557</v>
      </c>
      <c r="M24" s="4">
        <v>2</v>
      </c>
      <c r="N24" s="4">
        <v>3</v>
      </c>
      <c r="P24" s="4" t="s">
        <v>17</v>
      </c>
    </row>
    <row r="25" spans="1:16" ht="23.4" customHeight="1" x14ac:dyDescent="0.3">
      <c r="B25" s="3" t="s">
        <v>19</v>
      </c>
      <c r="C25" s="14">
        <v>40829</v>
      </c>
      <c r="G25" s="4">
        <v>15</v>
      </c>
      <c r="I25" s="6">
        <f t="shared" si="1"/>
        <v>15</v>
      </c>
      <c r="J25" s="4">
        <f>7.88+8.12</f>
        <v>16</v>
      </c>
      <c r="K25" s="10">
        <v>48</v>
      </c>
      <c r="L25" s="88">
        <v>581560</v>
      </c>
      <c r="M25" s="4">
        <v>1</v>
      </c>
      <c r="N25" s="4">
        <v>3</v>
      </c>
      <c r="P25" s="4" t="s">
        <v>17</v>
      </c>
    </row>
    <row r="26" spans="1:16" ht="23.4" customHeight="1" x14ac:dyDescent="0.3">
      <c r="B26" s="3" t="s">
        <v>20</v>
      </c>
      <c r="C26" s="14">
        <v>40829</v>
      </c>
      <c r="G26" s="4">
        <v>20</v>
      </c>
      <c r="I26" s="6">
        <f t="shared" si="1"/>
        <v>20</v>
      </c>
      <c r="J26" s="4">
        <f>50+6.8+6.72+7.05+7.57+7.03+6.75+16.68+1.41+1.76+1.52</f>
        <v>113.28999999999999</v>
      </c>
      <c r="K26" s="10">
        <v>350.35</v>
      </c>
      <c r="L26" s="88">
        <v>581562</v>
      </c>
      <c r="M26" s="4">
        <v>2</v>
      </c>
      <c r="O26" s="4">
        <v>6</v>
      </c>
      <c r="P26" s="4" t="s">
        <v>17</v>
      </c>
    </row>
    <row r="27" spans="1:16" ht="23.4" customHeight="1" x14ac:dyDescent="0.3">
      <c r="B27" s="3" t="s">
        <v>21</v>
      </c>
      <c r="C27" s="14">
        <v>40829</v>
      </c>
      <c r="G27" s="4">
        <v>20</v>
      </c>
      <c r="I27" s="6">
        <f t="shared" si="1"/>
        <v>20</v>
      </c>
      <c r="J27" s="4">
        <v>150</v>
      </c>
      <c r="K27" s="10">
        <v>450</v>
      </c>
      <c r="L27" s="88">
        <v>581561</v>
      </c>
      <c r="M27" s="4">
        <v>2</v>
      </c>
      <c r="O27" s="4">
        <v>6</v>
      </c>
      <c r="P27" s="4" t="s">
        <v>17</v>
      </c>
    </row>
    <row r="28" spans="1:16" ht="23.4" customHeight="1" x14ac:dyDescent="0.3">
      <c r="B28" s="3" t="s">
        <v>22</v>
      </c>
      <c r="C28" s="14">
        <v>40829</v>
      </c>
      <c r="G28" s="4">
        <v>15</v>
      </c>
      <c r="I28" s="6">
        <f t="shared" si="1"/>
        <v>15</v>
      </c>
      <c r="J28" s="4">
        <v>35</v>
      </c>
      <c r="K28" s="10">
        <v>105</v>
      </c>
      <c r="M28" s="4">
        <v>1</v>
      </c>
      <c r="N28" s="4">
        <v>3</v>
      </c>
      <c r="P28" s="4" t="s">
        <v>17</v>
      </c>
    </row>
    <row r="29" spans="1:16" ht="23.4" customHeight="1" x14ac:dyDescent="0.3">
      <c r="B29" s="3" t="s">
        <v>16</v>
      </c>
      <c r="C29" s="15">
        <v>40835</v>
      </c>
      <c r="D29" s="4">
        <v>30</v>
      </c>
      <c r="I29" s="6">
        <f t="shared" si="1"/>
        <v>30</v>
      </c>
      <c r="K29" s="10"/>
      <c r="N29" s="4">
        <v>3</v>
      </c>
      <c r="O29" s="4">
        <v>20</v>
      </c>
      <c r="P29" s="4" t="s">
        <v>23</v>
      </c>
    </row>
    <row r="30" spans="1:16" ht="23.4" customHeight="1" x14ac:dyDescent="0.3">
      <c r="B30" s="3" t="s">
        <v>16</v>
      </c>
      <c r="C30" s="15">
        <v>40835</v>
      </c>
      <c r="F30" s="4">
        <v>6</v>
      </c>
      <c r="I30" s="6">
        <f t="shared" si="1"/>
        <v>6</v>
      </c>
      <c r="K30" s="10"/>
      <c r="N30" s="4">
        <v>3</v>
      </c>
      <c r="P30" s="4" t="s">
        <v>23</v>
      </c>
    </row>
    <row r="31" spans="1:16" ht="23.4" customHeight="1" x14ac:dyDescent="0.3">
      <c r="B31" s="3" t="s">
        <v>24</v>
      </c>
      <c r="C31" s="15">
        <v>40835</v>
      </c>
      <c r="D31" s="4">
        <v>24</v>
      </c>
      <c r="I31" s="6">
        <f t="shared" si="1"/>
        <v>24</v>
      </c>
      <c r="K31" s="10"/>
      <c r="N31" s="4">
        <v>3</v>
      </c>
      <c r="O31" s="4">
        <v>20</v>
      </c>
      <c r="P31" s="4" t="s">
        <v>23</v>
      </c>
    </row>
    <row r="32" spans="1:16" ht="23.4" customHeight="1" x14ac:dyDescent="0.3">
      <c r="B32" s="3" t="s">
        <v>24</v>
      </c>
      <c r="C32" s="15">
        <v>40835</v>
      </c>
      <c r="F32" s="4">
        <v>27</v>
      </c>
      <c r="I32" s="6">
        <f t="shared" si="1"/>
        <v>27</v>
      </c>
      <c r="K32" s="10"/>
      <c r="N32" s="4">
        <v>1</v>
      </c>
      <c r="P32" s="4" t="s">
        <v>23</v>
      </c>
    </row>
    <row r="33" spans="2:16" ht="23.4" customHeight="1" x14ac:dyDescent="0.3">
      <c r="B33" s="3" t="s">
        <v>15</v>
      </c>
      <c r="C33" s="15">
        <v>40835</v>
      </c>
      <c r="G33" s="4">
        <v>20</v>
      </c>
      <c r="I33" s="6">
        <f t="shared" si="1"/>
        <v>20</v>
      </c>
      <c r="K33" s="10"/>
      <c r="N33" s="4">
        <v>3</v>
      </c>
      <c r="O33" s="4">
        <v>18</v>
      </c>
      <c r="P33" s="4" t="s">
        <v>23</v>
      </c>
    </row>
    <row r="34" spans="2:16" ht="23.4" customHeight="1" x14ac:dyDescent="0.3">
      <c r="B34" s="3" t="s">
        <v>15</v>
      </c>
      <c r="C34" s="15">
        <v>40835</v>
      </c>
      <c r="F34" s="4">
        <v>20</v>
      </c>
      <c r="I34" s="6">
        <f t="shared" si="1"/>
        <v>20</v>
      </c>
      <c r="K34" s="10"/>
      <c r="N34" s="4">
        <v>3</v>
      </c>
      <c r="P34" s="4" t="s">
        <v>23</v>
      </c>
    </row>
    <row r="35" spans="2:16" ht="23.4" customHeight="1" x14ac:dyDescent="0.3">
      <c r="B35" s="3" t="s">
        <v>24</v>
      </c>
      <c r="C35" s="15">
        <v>40835</v>
      </c>
      <c r="G35" s="4">
        <v>22</v>
      </c>
      <c r="I35" s="6">
        <f t="shared" si="1"/>
        <v>22</v>
      </c>
      <c r="K35" s="10"/>
      <c r="N35" s="4">
        <v>3</v>
      </c>
      <c r="O35" s="4">
        <v>18</v>
      </c>
      <c r="P35" s="4" t="s">
        <v>23</v>
      </c>
    </row>
    <row r="36" spans="2:16" s="12" customFormat="1" ht="19.95" customHeight="1" x14ac:dyDescent="0.3">
      <c r="B36" s="11"/>
      <c r="D36" s="17"/>
      <c r="E36" s="17"/>
      <c r="F36" s="17"/>
      <c r="G36" s="17"/>
      <c r="H36" s="17"/>
      <c r="I36" s="17"/>
      <c r="J36" s="17"/>
      <c r="K36" s="13"/>
      <c r="L36" s="89"/>
      <c r="M36" s="17"/>
      <c r="N36" s="17"/>
      <c r="O36" s="17"/>
      <c r="P36" s="17"/>
    </row>
    <row r="37" spans="2:16" ht="19.95" customHeight="1" x14ac:dyDescent="0.3">
      <c r="D37" s="86"/>
      <c r="E37" s="86"/>
      <c r="F37" s="86"/>
      <c r="G37" s="86"/>
      <c r="H37" s="86"/>
      <c r="I37" s="86"/>
      <c r="K37" s="13"/>
      <c r="M37" s="86"/>
      <c r="N37" s="86"/>
      <c r="O37" s="86"/>
      <c r="P37" s="86"/>
    </row>
    <row r="38" spans="2:16" ht="19.95" customHeight="1" x14ac:dyDescent="0.3">
      <c r="K38" s="10"/>
    </row>
    <row r="39" spans="2:16" ht="49.95" customHeight="1" x14ac:dyDescent="0.3"/>
    <row r="40" spans="2:16" ht="25.95" customHeight="1" x14ac:dyDescent="0.3">
      <c r="B40" s="18"/>
    </row>
    <row r="41" spans="2:16" ht="25.95" customHeight="1" x14ac:dyDescent="0.3">
      <c r="B41" s="18"/>
    </row>
    <row r="42" spans="2:16" ht="25.95" customHeight="1" x14ac:dyDescent="0.3">
      <c r="B42" s="18"/>
    </row>
    <row r="43" spans="2:16" ht="25.95" customHeight="1" x14ac:dyDescent="0.3">
      <c r="B43" s="18"/>
    </row>
    <row r="44" spans="2:16" ht="25.95" customHeight="1" x14ac:dyDescent="0.3"/>
  </sheetData>
  <pageMargins left="0.7" right="0.7" top="0.75" bottom="0.75" header="0.3" footer="0.3"/>
  <pageSetup orientation="portrait" r:id="rId1"/>
  <ignoredErrors>
    <ignoredError sqref="I3:I16 I2" formulaRange="1"/>
    <ignoredError sqref="I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zoomScale="60" zoomScaleNormal="60" workbookViewId="0">
      <pane ySplit="1" topLeftCell="A11" activePane="bottomLeft" state="frozen"/>
      <selection pane="bottomLeft" activeCell="E10" sqref="E10"/>
    </sheetView>
  </sheetViews>
  <sheetFormatPr defaultColWidth="8.88671875" defaultRowHeight="15.6" x14ac:dyDescent="0.3"/>
  <cols>
    <col min="1" max="1" width="8.88671875" style="2"/>
    <col min="2" max="2" width="23.6640625" style="3" customWidth="1"/>
    <col min="3" max="3" width="11.6640625" style="2" customWidth="1"/>
    <col min="4" max="4" width="12.5546875" style="20" customWidth="1"/>
    <col min="5" max="5" width="12.109375" style="20" customWidth="1"/>
    <col min="6" max="6" width="9.88671875" style="20" customWidth="1"/>
    <col min="7" max="7" width="12.6640625" style="20" customWidth="1"/>
    <col min="8" max="8" width="13.33203125" style="20" customWidth="1"/>
    <col min="9" max="9" width="11.109375" style="20" customWidth="1"/>
    <col min="10" max="10" width="11.6640625" style="20" customWidth="1"/>
    <col min="11" max="11" width="14.44140625" style="20" customWidth="1"/>
    <col min="12" max="12" width="15.44140625" style="5" customWidth="1"/>
    <col min="13" max="13" width="11.109375" style="88" customWidth="1"/>
    <col min="14" max="14" width="14" style="20" customWidth="1"/>
    <col min="15" max="15" width="13" style="20" customWidth="1"/>
    <col min="16" max="16" width="14.109375" style="20" customWidth="1"/>
    <col min="17" max="16384" width="8.88671875" style="2"/>
  </cols>
  <sheetData>
    <row r="1" spans="1:16" s="3" customFormat="1" ht="85.95" customHeight="1" x14ac:dyDescent="0.3">
      <c r="B1" s="3" t="s">
        <v>12</v>
      </c>
      <c r="C1" s="3" t="s">
        <v>11</v>
      </c>
      <c r="D1" s="6" t="s">
        <v>0</v>
      </c>
      <c r="E1" s="6" t="s">
        <v>27</v>
      </c>
      <c r="F1" s="6" t="s">
        <v>5</v>
      </c>
      <c r="G1" s="6" t="s">
        <v>1</v>
      </c>
      <c r="H1" s="6" t="s">
        <v>2</v>
      </c>
      <c r="I1" s="6" t="s">
        <v>28</v>
      </c>
      <c r="J1" s="6" t="s">
        <v>3</v>
      </c>
      <c r="K1" s="6" t="s">
        <v>30</v>
      </c>
      <c r="L1" s="8" t="s">
        <v>4</v>
      </c>
      <c r="M1" s="6" t="s">
        <v>107</v>
      </c>
      <c r="N1" s="6" t="s">
        <v>10</v>
      </c>
      <c r="O1" s="6" t="s">
        <v>9</v>
      </c>
      <c r="P1" s="6" t="s">
        <v>8</v>
      </c>
    </row>
    <row r="2" spans="1:16" s="3" customFormat="1" ht="23.4" customHeight="1" x14ac:dyDescent="0.3">
      <c r="B2" s="3" t="s">
        <v>29</v>
      </c>
      <c r="C2" s="87">
        <v>40800</v>
      </c>
      <c r="D2" s="20"/>
      <c r="E2" s="20"/>
      <c r="F2" s="16">
        <v>25</v>
      </c>
      <c r="G2" s="20"/>
      <c r="H2" s="20"/>
      <c r="I2" s="6">
        <f t="shared" ref="I2:I3" si="0">SUM(D2:H2)</f>
        <v>25</v>
      </c>
      <c r="J2" s="20">
        <v>40</v>
      </c>
      <c r="K2" s="7"/>
      <c r="L2" s="8"/>
      <c r="M2" s="6"/>
      <c r="N2" s="20"/>
      <c r="O2" s="20"/>
      <c r="P2" s="7"/>
    </row>
    <row r="3" spans="1:16" s="3" customFormat="1" ht="23.4" customHeight="1" x14ac:dyDescent="0.3">
      <c r="B3" s="3" t="s">
        <v>16</v>
      </c>
      <c r="C3" s="87">
        <v>40800</v>
      </c>
      <c r="D3" s="16">
        <v>60</v>
      </c>
      <c r="E3" s="20"/>
      <c r="F3" s="20"/>
      <c r="G3" s="20"/>
      <c r="H3" s="20"/>
      <c r="I3" s="6">
        <f t="shared" si="0"/>
        <v>60</v>
      </c>
      <c r="J3" s="20"/>
      <c r="K3" s="7"/>
      <c r="L3" s="8"/>
      <c r="M3" s="6"/>
      <c r="N3" s="20"/>
      <c r="O3" s="20"/>
      <c r="P3" s="7"/>
    </row>
    <row r="4" spans="1:16" ht="23.4" customHeight="1" x14ac:dyDescent="0.3">
      <c r="B4" s="3" t="s">
        <v>6</v>
      </c>
      <c r="C4" s="87">
        <v>40814</v>
      </c>
      <c r="D4" s="20">
        <v>11.5</v>
      </c>
      <c r="E4" s="20">
        <v>4.5</v>
      </c>
      <c r="F4" s="20">
        <v>4.5</v>
      </c>
      <c r="H4" s="20">
        <v>2</v>
      </c>
      <c r="I4" s="6">
        <f>SUM(D4:H4)</f>
        <v>22.5</v>
      </c>
      <c r="J4" s="20">
        <v>7.4</v>
      </c>
      <c r="L4" s="10"/>
      <c r="N4" s="20">
        <v>2</v>
      </c>
      <c r="O4" s="20">
        <v>1</v>
      </c>
      <c r="P4" s="20">
        <v>614</v>
      </c>
    </row>
    <row r="5" spans="1:16" ht="23.4" customHeight="1" x14ac:dyDescent="0.3">
      <c r="B5" s="3" t="s">
        <v>7</v>
      </c>
      <c r="C5" s="87">
        <v>40814</v>
      </c>
      <c r="D5" s="20">
        <v>11.5</v>
      </c>
      <c r="E5" s="20">
        <v>4.5</v>
      </c>
      <c r="F5" s="20">
        <v>4.5</v>
      </c>
      <c r="H5" s="20">
        <v>2</v>
      </c>
      <c r="I5" s="6">
        <f t="shared" ref="I5:I36" si="1">SUM(D5:H5)</f>
        <v>22.5</v>
      </c>
      <c r="J5" s="20">
        <v>7.4</v>
      </c>
      <c r="L5" s="10"/>
      <c r="N5" s="20">
        <v>2</v>
      </c>
      <c r="O5" s="20">
        <v>1</v>
      </c>
      <c r="P5" s="20">
        <v>614</v>
      </c>
    </row>
    <row r="6" spans="1:16" ht="23.4" customHeight="1" x14ac:dyDescent="0.3">
      <c r="B6" s="3" t="s">
        <v>6</v>
      </c>
      <c r="C6" s="87">
        <v>40814</v>
      </c>
      <c r="G6" s="20">
        <v>21</v>
      </c>
      <c r="I6" s="6">
        <f t="shared" si="1"/>
        <v>21</v>
      </c>
      <c r="J6" s="20">
        <v>18</v>
      </c>
      <c r="L6" s="10"/>
      <c r="N6" s="20">
        <v>2</v>
      </c>
      <c r="O6" s="20">
        <v>1</v>
      </c>
      <c r="P6" s="20">
        <v>614</v>
      </c>
    </row>
    <row r="7" spans="1:16" ht="23.4" customHeight="1" x14ac:dyDescent="0.3">
      <c r="B7" s="3" t="s">
        <v>6</v>
      </c>
      <c r="C7" s="87">
        <v>40814</v>
      </c>
      <c r="F7" s="20">
        <v>22</v>
      </c>
      <c r="H7" s="16">
        <v>2</v>
      </c>
      <c r="I7" s="6">
        <f t="shared" si="1"/>
        <v>24</v>
      </c>
      <c r="K7" s="20">
        <f>16.7+15.41</f>
        <v>32.11</v>
      </c>
      <c r="L7" s="10">
        <v>256.88</v>
      </c>
      <c r="M7" s="88">
        <v>384146</v>
      </c>
      <c r="N7" s="20">
        <v>1</v>
      </c>
      <c r="O7" s="20">
        <v>1</v>
      </c>
      <c r="P7" s="20">
        <v>614</v>
      </c>
    </row>
    <row r="8" spans="1:16" ht="23.4" customHeight="1" x14ac:dyDescent="0.3">
      <c r="B8" s="3" t="s">
        <v>7</v>
      </c>
      <c r="C8" s="87">
        <v>40814</v>
      </c>
      <c r="G8" s="20">
        <v>60</v>
      </c>
      <c r="I8" s="6">
        <f t="shared" si="1"/>
        <v>60</v>
      </c>
      <c r="J8" s="20">
        <v>45.6</v>
      </c>
      <c r="L8" s="10"/>
      <c r="N8" s="20">
        <v>1</v>
      </c>
      <c r="O8" s="20">
        <v>1</v>
      </c>
      <c r="P8" s="20">
        <v>614</v>
      </c>
    </row>
    <row r="9" spans="1:16" ht="23.4" customHeight="1" x14ac:dyDescent="0.3">
      <c r="B9" s="3" t="s">
        <v>7</v>
      </c>
      <c r="C9" s="87">
        <v>40814</v>
      </c>
      <c r="F9" s="20">
        <v>15</v>
      </c>
      <c r="I9" s="6">
        <f t="shared" si="1"/>
        <v>15</v>
      </c>
      <c r="J9" s="20">
        <v>20.399999999999999</v>
      </c>
      <c r="K9" s="20">
        <f>50+2.97+8.77+8.52+10.3</f>
        <v>80.559999999999988</v>
      </c>
      <c r="L9" s="10">
        <v>386.65</v>
      </c>
      <c r="M9" s="88">
        <v>384147</v>
      </c>
      <c r="N9" s="20">
        <v>1</v>
      </c>
      <c r="O9" s="20">
        <v>1</v>
      </c>
      <c r="P9" s="20">
        <v>614</v>
      </c>
    </row>
    <row r="10" spans="1:16" ht="23.4" customHeight="1" x14ac:dyDescent="0.3">
      <c r="A10" s="2" t="s">
        <v>108</v>
      </c>
      <c r="B10" s="3" t="s">
        <v>110</v>
      </c>
      <c r="C10" s="87">
        <v>40826</v>
      </c>
      <c r="D10" s="16">
        <v>20</v>
      </c>
      <c r="E10" s="16">
        <v>5</v>
      </c>
      <c r="G10" s="16">
        <v>20</v>
      </c>
      <c r="H10" s="16">
        <v>2</v>
      </c>
      <c r="I10" s="6">
        <f>SUM(D10:H10)</f>
        <v>47</v>
      </c>
      <c r="K10" s="20">
        <v>15</v>
      </c>
      <c r="L10" s="10">
        <v>45</v>
      </c>
      <c r="M10" s="88">
        <v>581552</v>
      </c>
    </row>
    <row r="11" spans="1:16" ht="23.4" customHeight="1" x14ac:dyDescent="0.3">
      <c r="A11" s="2" t="s">
        <v>108</v>
      </c>
      <c r="B11" s="3" t="s">
        <v>7</v>
      </c>
      <c r="C11" s="87">
        <v>40827</v>
      </c>
      <c r="D11" s="16">
        <v>20</v>
      </c>
      <c r="E11" s="16">
        <v>5</v>
      </c>
      <c r="F11" s="16">
        <v>5</v>
      </c>
      <c r="G11" s="16">
        <v>50</v>
      </c>
      <c r="H11" s="16">
        <v>2</v>
      </c>
      <c r="I11" s="6">
        <f>SUM(D11:H11)</f>
        <v>82</v>
      </c>
      <c r="J11" s="16">
        <v>45.6</v>
      </c>
      <c r="K11" s="20">
        <v>100</v>
      </c>
      <c r="L11" s="10">
        <v>300</v>
      </c>
      <c r="M11" s="88">
        <v>581553</v>
      </c>
    </row>
    <row r="12" spans="1:16" ht="23.4" customHeight="1" x14ac:dyDescent="0.3">
      <c r="B12" s="3" t="s">
        <v>13</v>
      </c>
      <c r="C12" s="87">
        <v>40814</v>
      </c>
      <c r="D12" s="16">
        <v>20</v>
      </c>
      <c r="I12" s="6">
        <f t="shared" si="1"/>
        <v>20</v>
      </c>
      <c r="J12" s="16">
        <v>20</v>
      </c>
      <c r="L12" s="10"/>
    </row>
    <row r="13" spans="1:16" ht="23.4" customHeight="1" x14ac:dyDescent="0.3">
      <c r="A13" s="2" t="s">
        <v>108</v>
      </c>
      <c r="B13" s="3" t="s">
        <v>25</v>
      </c>
      <c r="C13" s="87">
        <v>40816</v>
      </c>
      <c r="D13" s="16">
        <v>12</v>
      </c>
      <c r="E13" s="16">
        <v>5</v>
      </c>
      <c r="F13" s="16">
        <v>5</v>
      </c>
      <c r="G13" s="16">
        <v>50</v>
      </c>
      <c r="H13" s="16">
        <v>2</v>
      </c>
      <c r="I13" s="6">
        <f t="shared" si="1"/>
        <v>74</v>
      </c>
      <c r="K13" s="20">
        <v>10</v>
      </c>
      <c r="L13" s="10">
        <v>25</v>
      </c>
      <c r="M13" s="88">
        <v>384148</v>
      </c>
    </row>
    <row r="14" spans="1:16" s="105" customFormat="1" ht="30" customHeight="1" x14ac:dyDescent="0.3">
      <c r="B14" s="106"/>
      <c r="C14" s="107"/>
      <c r="D14" s="110">
        <f>SUM(D2:D13)</f>
        <v>155</v>
      </c>
      <c r="E14" s="110">
        <f t="shared" ref="E14:H14" si="2">SUM(E2:E13)</f>
        <v>24</v>
      </c>
      <c r="F14" s="110">
        <f t="shared" si="2"/>
        <v>81</v>
      </c>
      <c r="G14" s="110">
        <f t="shared" si="2"/>
        <v>201</v>
      </c>
      <c r="H14" s="110">
        <f t="shared" si="2"/>
        <v>12</v>
      </c>
      <c r="I14" s="110">
        <f>SUM(I2:I13)</f>
        <v>473</v>
      </c>
      <c r="J14" s="110">
        <f>SUM(J2:J13)</f>
        <v>204.4</v>
      </c>
      <c r="K14" s="111">
        <f>SUM(K2:K13)</f>
        <v>237.67</v>
      </c>
      <c r="L14" s="112">
        <f>SUM(L2:L13)</f>
        <v>1013.53</v>
      </c>
      <c r="M14" s="109"/>
      <c r="N14" s="108"/>
      <c r="O14" s="108"/>
      <c r="P14" s="108"/>
    </row>
    <row r="15" spans="1:16" ht="23.4" customHeight="1" x14ac:dyDescent="0.3">
      <c r="A15" s="2" t="s">
        <v>109</v>
      </c>
      <c r="B15" s="3" t="s">
        <v>14</v>
      </c>
      <c r="C15" s="87">
        <v>40816</v>
      </c>
      <c r="D15" s="16">
        <v>12</v>
      </c>
      <c r="E15" s="16">
        <v>5</v>
      </c>
      <c r="F15" s="16">
        <v>5</v>
      </c>
      <c r="G15" s="16">
        <v>50</v>
      </c>
      <c r="H15" s="16">
        <v>2</v>
      </c>
      <c r="I15" s="6">
        <f t="shared" si="1"/>
        <v>74</v>
      </c>
      <c r="J15" s="16">
        <v>15</v>
      </c>
      <c r="K15" s="20">
        <f>28+6.04+5.38+5.35+5.64+6+5.43+2.43</f>
        <v>64.27000000000001</v>
      </c>
      <c r="L15" s="10">
        <v>192.81</v>
      </c>
      <c r="M15" s="88">
        <v>384145</v>
      </c>
    </row>
    <row r="16" spans="1:16" ht="23.4" customHeight="1" x14ac:dyDescent="0.3">
      <c r="A16" s="2" t="s">
        <v>108</v>
      </c>
      <c r="B16" s="3" t="s">
        <v>15</v>
      </c>
      <c r="C16" s="87">
        <v>40820</v>
      </c>
      <c r="D16" s="16">
        <v>20</v>
      </c>
      <c r="E16" s="16">
        <v>5</v>
      </c>
      <c r="F16" s="16">
        <v>5</v>
      </c>
      <c r="G16" s="16">
        <v>20</v>
      </c>
      <c r="H16" s="16">
        <v>2</v>
      </c>
      <c r="I16" s="6">
        <f t="shared" si="1"/>
        <v>52</v>
      </c>
      <c r="J16" s="16">
        <v>13.5</v>
      </c>
      <c r="K16" s="20">
        <f>25+6.53+3.68+3.04+4.36</f>
        <v>42.61</v>
      </c>
      <c r="L16" s="10">
        <v>185.12</v>
      </c>
      <c r="M16" s="88">
        <v>384150</v>
      </c>
    </row>
    <row r="17" spans="1:16" ht="23.4" customHeight="1" x14ac:dyDescent="0.3">
      <c r="A17" s="2" t="s">
        <v>108</v>
      </c>
      <c r="B17" s="3" t="s">
        <v>14</v>
      </c>
      <c r="C17" s="87">
        <v>40823</v>
      </c>
      <c r="D17" s="16">
        <v>20</v>
      </c>
      <c r="E17" s="16">
        <v>5</v>
      </c>
      <c r="F17" s="16">
        <v>5</v>
      </c>
      <c r="G17" s="16">
        <v>40</v>
      </c>
      <c r="H17" s="16">
        <v>2</v>
      </c>
      <c r="I17" s="6">
        <f t="shared" si="1"/>
        <v>72</v>
      </c>
      <c r="J17" s="16">
        <v>15</v>
      </c>
      <c r="K17" s="20">
        <f>56+11.98+5.75+5.52+6.94</f>
        <v>86.19</v>
      </c>
      <c r="L17" s="10">
        <v>273.55</v>
      </c>
      <c r="M17" s="88">
        <v>581551</v>
      </c>
    </row>
    <row r="18" spans="1:16" s="105" customFormat="1" ht="31.2" customHeight="1" x14ac:dyDescent="0.3">
      <c r="B18" s="106"/>
      <c r="C18" s="107"/>
      <c r="D18" s="110">
        <f>SUM(D15:D17)</f>
        <v>52</v>
      </c>
      <c r="E18" s="110">
        <f t="shared" ref="E18:H18" si="3">SUM(E15:E17)</f>
        <v>15</v>
      </c>
      <c r="F18" s="110">
        <f t="shared" si="3"/>
        <v>15</v>
      </c>
      <c r="G18" s="110">
        <f t="shared" si="3"/>
        <v>110</v>
      </c>
      <c r="H18" s="110">
        <f t="shared" si="3"/>
        <v>6</v>
      </c>
      <c r="I18" s="110">
        <f>SUM(I15:I17)</f>
        <v>198</v>
      </c>
      <c r="J18" s="110">
        <f>SUM(J15:J17)</f>
        <v>43.5</v>
      </c>
      <c r="K18" s="111">
        <f>SUM(K15:K17)</f>
        <v>193.07</v>
      </c>
      <c r="L18" s="112">
        <f>SUM(L15:L17)</f>
        <v>651.48</v>
      </c>
      <c r="M18" s="109"/>
      <c r="N18" s="108"/>
      <c r="O18" s="108"/>
      <c r="P18" s="108"/>
    </row>
    <row r="19" spans="1:16" ht="23.4" customHeight="1" x14ac:dyDescent="0.3">
      <c r="A19" s="2" t="s">
        <v>108</v>
      </c>
      <c r="B19" s="3" t="s">
        <v>6</v>
      </c>
      <c r="C19" s="87">
        <v>40828</v>
      </c>
      <c r="D19" s="16">
        <v>10</v>
      </c>
      <c r="F19" s="16">
        <v>4</v>
      </c>
      <c r="G19" s="16">
        <v>15</v>
      </c>
      <c r="I19" s="6">
        <f t="shared" si="1"/>
        <v>29</v>
      </c>
      <c r="K19" s="20">
        <f>14.43+14.79+150</f>
        <v>179.22</v>
      </c>
      <c r="L19" s="10">
        <v>683.76</v>
      </c>
      <c r="M19" s="88">
        <v>581554</v>
      </c>
    </row>
    <row r="20" spans="1:16" ht="23.4" customHeight="1" x14ac:dyDescent="0.3">
      <c r="A20" s="2" t="s">
        <v>108</v>
      </c>
      <c r="B20" s="3" t="s">
        <v>26</v>
      </c>
      <c r="C20" s="87">
        <v>40828</v>
      </c>
      <c r="D20" s="16">
        <v>10</v>
      </c>
      <c r="F20" s="16">
        <v>4</v>
      </c>
      <c r="G20" s="16">
        <v>15</v>
      </c>
      <c r="I20" s="6">
        <f t="shared" si="1"/>
        <v>29</v>
      </c>
      <c r="K20" s="20">
        <f>5.18+5.09+10.27+8.43+10.14+1.05+0.79+0.87+1+0.66+0.96+1.25+0.93+1.24+0.94+0.9</f>
        <v>49.699999999999989</v>
      </c>
      <c r="L20" s="10">
        <v>353.91</v>
      </c>
      <c r="M20" s="88">
        <v>581555</v>
      </c>
    </row>
    <row r="21" spans="1:16" ht="23.4" customHeight="1" x14ac:dyDescent="0.3">
      <c r="B21" s="3" t="s">
        <v>14</v>
      </c>
      <c r="C21" s="14">
        <v>40829</v>
      </c>
      <c r="G21" s="20">
        <v>37.5</v>
      </c>
      <c r="I21" s="6">
        <f t="shared" si="1"/>
        <v>37.5</v>
      </c>
      <c r="J21" s="20">
        <v>13.5</v>
      </c>
      <c r="K21" s="20">
        <f>106+5.14+5.72+5.22+6.94+6.29+9.69+5.23</f>
        <v>150.22999999999999</v>
      </c>
      <c r="L21" s="10">
        <v>479.34</v>
      </c>
      <c r="M21" s="88">
        <v>581558</v>
      </c>
      <c r="N21" s="20">
        <v>2</v>
      </c>
      <c r="P21" s="20">
        <v>614</v>
      </c>
    </row>
    <row r="22" spans="1:16" ht="23.4" customHeight="1" x14ac:dyDescent="0.3">
      <c r="B22" s="3" t="s">
        <v>15</v>
      </c>
      <c r="C22" s="14">
        <v>40829</v>
      </c>
      <c r="G22" s="20">
        <v>37.5</v>
      </c>
      <c r="I22" s="6">
        <f t="shared" si="1"/>
        <v>37.5</v>
      </c>
      <c r="J22" s="20">
        <v>13.5</v>
      </c>
      <c r="K22" s="20">
        <f>7.93+5.37+1.19+50</f>
        <v>64.489999999999995</v>
      </c>
      <c r="L22" s="10">
        <v>190.9</v>
      </c>
      <c r="M22" s="88">
        <v>581559</v>
      </c>
      <c r="N22" s="20">
        <v>2</v>
      </c>
      <c r="P22" s="20">
        <v>614</v>
      </c>
    </row>
    <row r="23" spans="1:16" ht="23.4" customHeight="1" x14ac:dyDescent="0.3">
      <c r="B23" s="3" t="s">
        <v>16</v>
      </c>
      <c r="C23" s="14">
        <v>40829</v>
      </c>
      <c r="D23" s="20">
        <v>30</v>
      </c>
      <c r="F23" s="20">
        <v>15</v>
      </c>
      <c r="I23" s="6">
        <f t="shared" si="1"/>
        <v>45</v>
      </c>
      <c r="J23" s="20">
        <v>11.6</v>
      </c>
      <c r="L23" s="10"/>
      <c r="O23" s="20">
        <v>3</v>
      </c>
      <c r="P23" s="20" t="s">
        <v>17</v>
      </c>
    </row>
    <row r="24" spans="1:16" ht="23.4" customHeight="1" x14ac:dyDescent="0.3">
      <c r="B24" s="3" t="s">
        <v>18</v>
      </c>
      <c r="C24" s="14">
        <v>40829</v>
      </c>
      <c r="G24" s="20">
        <v>37.5</v>
      </c>
      <c r="I24" s="6">
        <f t="shared" si="1"/>
        <v>37.5</v>
      </c>
      <c r="K24" s="20">
        <v>30</v>
      </c>
      <c r="L24" s="10">
        <v>90</v>
      </c>
      <c r="M24" s="88">
        <v>581556</v>
      </c>
      <c r="N24" s="20">
        <v>2</v>
      </c>
      <c r="O24" s="20">
        <v>3</v>
      </c>
      <c r="P24" s="20" t="s">
        <v>17</v>
      </c>
    </row>
    <row r="25" spans="1:16" ht="23.4" customHeight="1" x14ac:dyDescent="0.3">
      <c r="B25" s="3" t="s">
        <v>7</v>
      </c>
      <c r="C25" s="14">
        <v>40829</v>
      </c>
      <c r="G25" s="20">
        <v>37.5</v>
      </c>
      <c r="I25" s="6">
        <f t="shared" si="1"/>
        <v>37.5</v>
      </c>
      <c r="K25" s="20">
        <f>50+8.18+8.44+9.13+8.24+4.35+4.95+5.22+1.35+1.13+1.79+1.83+1.54+1.55</f>
        <v>107.69999999999999</v>
      </c>
      <c r="L25" s="10">
        <v>588.80999999999995</v>
      </c>
      <c r="M25" s="88">
        <v>581557</v>
      </c>
      <c r="N25" s="20">
        <v>2</v>
      </c>
      <c r="O25" s="20">
        <v>3</v>
      </c>
      <c r="P25" s="20" t="s">
        <v>17</v>
      </c>
    </row>
    <row r="26" spans="1:16" ht="23.4" customHeight="1" x14ac:dyDescent="0.3">
      <c r="B26" s="3" t="s">
        <v>19</v>
      </c>
      <c r="C26" s="14">
        <v>40829</v>
      </c>
      <c r="G26" s="20">
        <v>15</v>
      </c>
      <c r="I26" s="6">
        <f t="shared" si="1"/>
        <v>15</v>
      </c>
      <c r="K26" s="20">
        <f>7.88+8.12</f>
        <v>16</v>
      </c>
      <c r="L26" s="10">
        <v>48</v>
      </c>
      <c r="M26" s="88">
        <v>581560</v>
      </c>
      <c r="N26" s="20">
        <v>1</v>
      </c>
      <c r="O26" s="20">
        <v>3</v>
      </c>
      <c r="P26" s="20" t="s">
        <v>17</v>
      </c>
    </row>
    <row r="27" spans="1:16" ht="23.4" customHeight="1" x14ac:dyDescent="0.3">
      <c r="B27" s="3" t="s">
        <v>20</v>
      </c>
      <c r="C27" s="14">
        <v>40829</v>
      </c>
      <c r="G27" s="20">
        <v>20</v>
      </c>
      <c r="I27" s="6">
        <f t="shared" si="1"/>
        <v>20</v>
      </c>
      <c r="J27" s="20">
        <v>6</v>
      </c>
      <c r="K27" s="20">
        <f>50+6.8+6.72+7.05+7.57+7.03+6.75+16.68+1.41+1.76+1.52</f>
        <v>113.28999999999999</v>
      </c>
      <c r="L27" s="10">
        <v>350.35</v>
      </c>
      <c r="M27" s="88">
        <v>581562</v>
      </c>
      <c r="N27" s="20">
        <v>2</v>
      </c>
      <c r="P27" s="20" t="s">
        <v>17</v>
      </c>
    </row>
    <row r="28" spans="1:16" ht="23.4" customHeight="1" x14ac:dyDescent="0.3">
      <c r="B28" s="3" t="s">
        <v>21</v>
      </c>
      <c r="C28" s="14">
        <v>40829</v>
      </c>
      <c r="G28" s="20">
        <v>20</v>
      </c>
      <c r="I28" s="6">
        <f t="shared" si="1"/>
        <v>20</v>
      </c>
      <c r="J28" s="20">
        <v>6</v>
      </c>
      <c r="K28" s="20">
        <v>150</v>
      </c>
      <c r="L28" s="10">
        <v>450</v>
      </c>
      <c r="M28" s="88">
        <v>581561</v>
      </c>
      <c r="N28" s="20">
        <v>2</v>
      </c>
      <c r="P28" s="20" t="s">
        <v>17</v>
      </c>
    </row>
    <row r="29" spans="1:16" ht="23.4" customHeight="1" x14ac:dyDescent="0.3">
      <c r="B29" s="3" t="s">
        <v>22</v>
      </c>
      <c r="C29" s="14">
        <v>40829</v>
      </c>
      <c r="G29" s="20">
        <v>15</v>
      </c>
      <c r="I29" s="6">
        <f t="shared" si="1"/>
        <v>15</v>
      </c>
      <c r="K29" s="20">
        <v>35</v>
      </c>
      <c r="L29" s="10">
        <v>105</v>
      </c>
      <c r="N29" s="20">
        <v>1</v>
      </c>
      <c r="O29" s="20">
        <v>3</v>
      </c>
      <c r="P29" s="20" t="s">
        <v>17</v>
      </c>
    </row>
    <row r="30" spans="1:16" ht="23.4" customHeight="1" x14ac:dyDescent="0.3">
      <c r="B30" s="3" t="s">
        <v>16</v>
      </c>
      <c r="C30" s="15">
        <v>40835</v>
      </c>
      <c r="D30" s="20">
        <v>30</v>
      </c>
      <c r="I30" s="6">
        <f t="shared" si="1"/>
        <v>30</v>
      </c>
      <c r="J30" s="20">
        <v>20</v>
      </c>
      <c r="L30" s="10"/>
      <c r="O30" s="20">
        <v>3</v>
      </c>
      <c r="P30" s="20" t="s">
        <v>23</v>
      </c>
    </row>
    <row r="31" spans="1:16" ht="23.4" customHeight="1" x14ac:dyDescent="0.3">
      <c r="B31" s="3" t="s">
        <v>16</v>
      </c>
      <c r="C31" s="15">
        <v>40835</v>
      </c>
      <c r="F31" s="20">
        <v>6</v>
      </c>
      <c r="I31" s="6">
        <f t="shared" si="1"/>
        <v>6</v>
      </c>
      <c r="L31" s="10"/>
      <c r="O31" s="20">
        <v>3</v>
      </c>
      <c r="P31" s="20" t="s">
        <v>23</v>
      </c>
    </row>
    <row r="32" spans="1:16" ht="23.4" customHeight="1" x14ac:dyDescent="0.3">
      <c r="B32" s="3" t="s">
        <v>24</v>
      </c>
      <c r="C32" s="15">
        <v>40835</v>
      </c>
      <c r="D32" s="20">
        <v>24</v>
      </c>
      <c r="I32" s="6">
        <f t="shared" si="1"/>
        <v>24</v>
      </c>
      <c r="J32" s="20">
        <v>20</v>
      </c>
      <c r="L32" s="10"/>
      <c r="O32" s="20">
        <v>3</v>
      </c>
      <c r="P32" s="20" t="s">
        <v>23</v>
      </c>
    </row>
    <row r="33" spans="2:16" ht="23.4" customHeight="1" x14ac:dyDescent="0.3">
      <c r="B33" s="3" t="s">
        <v>24</v>
      </c>
      <c r="C33" s="15">
        <v>40835</v>
      </c>
      <c r="F33" s="20">
        <v>27</v>
      </c>
      <c r="I33" s="6">
        <f t="shared" si="1"/>
        <v>27</v>
      </c>
      <c r="L33" s="10"/>
      <c r="O33" s="20">
        <v>1</v>
      </c>
      <c r="P33" s="20" t="s">
        <v>23</v>
      </c>
    </row>
    <row r="34" spans="2:16" ht="23.4" customHeight="1" x14ac:dyDescent="0.3">
      <c r="B34" s="3" t="s">
        <v>15</v>
      </c>
      <c r="C34" s="15">
        <v>40835</v>
      </c>
      <c r="G34" s="20">
        <v>20</v>
      </c>
      <c r="I34" s="6">
        <f t="shared" si="1"/>
        <v>20</v>
      </c>
      <c r="J34" s="20">
        <v>18</v>
      </c>
      <c r="L34" s="10"/>
      <c r="O34" s="20">
        <v>3</v>
      </c>
      <c r="P34" s="20" t="s">
        <v>23</v>
      </c>
    </row>
    <row r="35" spans="2:16" ht="23.4" customHeight="1" x14ac:dyDescent="0.3">
      <c r="B35" s="3" t="s">
        <v>15</v>
      </c>
      <c r="C35" s="15">
        <v>40835</v>
      </c>
      <c r="F35" s="20">
        <v>20</v>
      </c>
      <c r="I35" s="6">
        <f t="shared" si="1"/>
        <v>20</v>
      </c>
      <c r="L35" s="10"/>
      <c r="O35" s="20">
        <v>3</v>
      </c>
      <c r="P35" s="20" t="s">
        <v>23</v>
      </c>
    </row>
    <row r="36" spans="2:16" ht="23.4" customHeight="1" x14ac:dyDescent="0.3">
      <c r="B36" s="3" t="s">
        <v>24</v>
      </c>
      <c r="C36" s="15">
        <v>40835</v>
      </c>
      <c r="G36" s="20">
        <v>22</v>
      </c>
      <c r="I36" s="6">
        <f t="shared" si="1"/>
        <v>22</v>
      </c>
      <c r="J36" s="20">
        <v>18</v>
      </c>
      <c r="L36" s="10"/>
      <c r="O36" s="20">
        <v>3</v>
      </c>
      <c r="P36" s="20" t="s">
        <v>23</v>
      </c>
    </row>
    <row r="37" spans="2:16" s="12" customFormat="1" ht="19.95" customHeight="1" x14ac:dyDescent="0.3">
      <c r="B37" s="11"/>
      <c r="D37" s="17"/>
      <c r="E37" s="17"/>
      <c r="F37" s="17"/>
      <c r="G37" s="17"/>
      <c r="H37" s="17"/>
      <c r="I37" s="17"/>
      <c r="J37" s="17"/>
      <c r="K37" s="17"/>
      <c r="L37" s="13"/>
      <c r="M37" s="89"/>
      <c r="N37" s="17"/>
      <c r="O37" s="17"/>
      <c r="P37" s="17"/>
    </row>
    <row r="38" spans="2:16" ht="19.95" customHeight="1" x14ac:dyDescent="0.3">
      <c r="D38" s="86"/>
      <c r="E38" s="86"/>
      <c r="F38" s="86"/>
      <c r="G38" s="86"/>
      <c r="H38" s="86"/>
      <c r="I38" s="86"/>
      <c r="J38" s="86"/>
      <c r="L38" s="13"/>
      <c r="N38" s="86"/>
      <c r="O38" s="86"/>
      <c r="P38" s="86"/>
    </row>
    <row r="39" spans="2:16" ht="19.95" customHeight="1" x14ac:dyDescent="0.3">
      <c r="L39" s="10"/>
    </row>
    <row r="40" spans="2:16" ht="49.95" customHeight="1" x14ac:dyDescent="0.3"/>
    <row r="41" spans="2:16" ht="25.95" customHeight="1" x14ac:dyDescent="0.3">
      <c r="B41" s="18"/>
    </row>
    <row r="42" spans="2:16" ht="25.95" customHeight="1" x14ac:dyDescent="0.3">
      <c r="B42" s="18"/>
    </row>
    <row r="43" spans="2:16" ht="25.95" customHeight="1" x14ac:dyDescent="0.3">
      <c r="B43" s="18"/>
    </row>
    <row r="44" spans="2:16" ht="25.95" customHeight="1" x14ac:dyDescent="0.3">
      <c r="B44" s="18"/>
    </row>
    <row r="45" spans="2:16" ht="25.95" customHeight="1" x14ac:dyDescent="0.3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F26" sqref="F26"/>
    </sheetView>
  </sheetViews>
  <sheetFormatPr defaultRowHeight="14.4" x14ac:dyDescent="0.3"/>
  <cols>
    <col min="1" max="1" width="26.5546875" style="1" customWidth="1"/>
    <col min="2" max="2" width="13.44140625" style="27" customWidth="1"/>
    <col min="3" max="3" width="11.44140625" style="25" customWidth="1"/>
    <col min="4" max="4" width="14.33203125" style="25" customWidth="1"/>
  </cols>
  <sheetData>
    <row r="1" spans="1:4" s="1" customFormat="1" ht="17.399999999999999" x14ac:dyDescent="0.35">
      <c r="A1" s="19" t="s">
        <v>31</v>
      </c>
      <c r="B1" s="21" t="s">
        <v>37</v>
      </c>
      <c r="C1" s="22" t="s">
        <v>32</v>
      </c>
      <c r="D1" s="23" t="s">
        <v>52</v>
      </c>
    </row>
    <row r="2" spans="1:4" x14ac:dyDescent="0.3">
      <c r="A2" s="1" t="s">
        <v>33</v>
      </c>
      <c r="B2" s="24">
        <v>3</v>
      </c>
      <c r="C2" s="25">
        <f>50+28+25+56+15+100+150+30+50+106+25+150+50</f>
        <v>835</v>
      </c>
      <c r="D2" s="26">
        <f t="shared" ref="D2:D24" si="0">B2*C2</f>
        <v>2505</v>
      </c>
    </row>
    <row r="3" spans="1:4" x14ac:dyDescent="0.3">
      <c r="A3" s="1" t="s">
        <v>33</v>
      </c>
      <c r="B3" s="24">
        <v>2.5</v>
      </c>
      <c r="C3" s="25">
        <f>25+10</f>
        <v>35</v>
      </c>
      <c r="D3" s="26">
        <f t="shared" si="0"/>
        <v>87.5</v>
      </c>
    </row>
    <row r="4" spans="1:4" x14ac:dyDescent="0.3">
      <c r="A4" s="1" t="s">
        <v>33</v>
      </c>
      <c r="B4" s="24">
        <v>3.25</v>
      </c>
      <c r="C4" s="25">
        <v>35</v>
      </c>
      <c r="D4" s="26">
        <f t="shared" si="0"/>
        <v>113.75</v>
      </c>
    </row>
    <row r="5" spans="1:4" x14ac:dyDescent="0.3">
      <c r="A5" s="1" t="s">
        <v>34</v>
      </c>
      <c r="B5" s="24">
        <v>4.25</v>
      </c>
      <c r="C5" s="25">
        <f>1.57+1.4+1.35+1.13+1.79+1.83+1.54+1.55</f>
        <v>12.16</v>
      </c>
      <c r="D5" s="26">
        <f t="shared" si="0"/>
        <v>51.68</v>
      </c>
    </row>
    <row r="6" spans="1:4" x14ac:dyDescent="0.3">
      <c r="A6" s="1" t="s">
        <v>35</v>
      </c>
      <c r="B6" s="24">
        <v>7</v>
      </c>
      <c r="C6" s="25">
        <f>8.77+8.52+9.13+8.29</f>
        <v>34.71</v>
      </c>
      <c r="D6" s="26">
        <f t="shared" si="0"/>
        <v>242.97</v>
      </c>
    </row>
    <row r="7" spans="1:4" x14ac:dyDescent="0.3">
      <c r="A7" s="1" t="s">
        <v>35</v>
      </c>
      <c r="B7" s="24">
        <v>9</v>
      </c>
      <c r="C7" s="25">
        <f>8.43+10.14</f>
        <v>18.57</v>
      </c>
      <c r="D7" s="26">
        <f t="shared" si="0"/>
        <v>167.13</v>
      </c>
    </row>
    <row r="8" spans="1:4" x14ac:dyDescent="0.3">
      <c r="A8" s="1" t="s">
        <v>36</v>
      </c>
      <c r="B8" s="24">
        <v>10</v>
      </c>
      <c r="C8" s="25">
        <f>5.05+5.25+4.35+4.95+5.22</f>
        <v>24.82</v>
      </c>
      <c r="D8" s="26">
        <f t="shared" si="0"/>
        <v>248.2</v>
      </c>
    </row>
    <row r="9" spans="1:4" x14ac:dyDescent="0.3">
      <c r="A9" s="1" t="s">
        <v>36</v>
      </c>
      <c r="B9" s="24">
        <v>6.25</v>
      </c>
      <c r="C9" s="25">
        <f>4.36</f>
        <v>4.3600000000000003</v>
      </c>
      <c r="D9" s="26">
        <f t="shared" si="0"/>
        <v>27.250000000000004</v>
      </c>
    </row>
    <row r="10" spans="1:4" x14ac:dyDescent="0.3">
      <c r="A10" s="1" t="s">
        <v>36</v>
      </c>
      <c r="B10" s="24">
        <v>12</v>
      </c>
      <c r="C10" s="25">
        <f>5.18+5.09</f>
        <v>10.27</v>
      </c>
      <c r="D10" s="26">
        <f t="shared" si="0"/>
        <v>123.24</v>
      </c>
    </row>
    <row r="11" spans="1:4" x14ac:dyDescent="0.3">
      <c r="A11" s="1" t="s">
        <v>38</v>
      </c>
      <c r="B11" s="24">
        <v>8</v>
      </c>
      <c r="C11" s="25">
        <f>16.7+15.41+14.43+14.79+8.18+8.44</f>
        <v>77.949999999999989</v>
      </c>
      <c r="D11" s="26">
        <f t="shared" si="0"/>
        <v>623.59999999999991</v>
      </c>
    </row>
    <row r="12" spans="1:4" x14ac:dyDescent="0.3">
      <c r="A12" s="1" t="s">
        <v>39</v>
      </c>
      <c r="B12" s="24">
        <v>3</v>
      </c>
      <c r="C12" s="25">
        <f>6.04+5.38+5.35+6.94+5.23+5.37</f>
        <v>34.31</v>
      </c>
      <c r="D12" s="26">
        <f t="shared" si="0"/>
        <v>102.93</v>
      </c>
    </row>
    <row r="13" spans="1:4" x14ac:dyDescent="0.3">
      <c r="A13" s="1" t="s">
        <v>40</v>
      </c>
      <c r="B13" s="24">
        <v>3</v>
      </c>
      <c r="C13" s="25">
        <f>5.64+6+5.43+2.43+5.14+5.72+5.22</f>
        <v>35.58</v>
      </c>
      <c r="D13" s="26">
        <f t="shared" si="0"/>
        <v>106.74</v>
      </c>
    </row>
    <row r="14" spans="1:4" x14ac:dyDescent="0.3">
      <c r="A14" s="1" t="s">
        <v>41</v>
      </c>
      <c r="B14" s="24">
        <v>6.25</v>
      </c>
      <c r="C14" s="25">
        <v>6.53</v>
      </c>
      <c r="D14" s="26">
        <f t="shared" si="0"/>
        <v>40.8125</v>
      </c>
    </row>
    <row r="15" spans="1:4" x14ac:dyDescent="0.3">
      <c r="A15" s="1" t="s">
        <v>42</v>
      </c>
      <c r="B15" s="24">
        <v>6.25</v>
      </c>
      <c r="C15" s="25">
        <v>3.68</v>
      </c>
      <c r="D15" s="26">
        <f t="shared" si="0"/>
        <v>23</v>
      </c>
    </row>
    <row r="16" spans="1:4" x14ac:dyDescent="0.3">
      <c r="A16" s="1" t="s">
        <v>43</v>
      </c>
      <c r="B16" s="24">
        <v>6.25</v>
      </c>
      <c r="C16" s="25">
        <v>3.04</v>
      </c>
      <c r="D16" s="26">
        <f t="shared" si="0"/>
        <v>19</v>
      </c>
    </row>
    <row r="17" spans="1:4" x14ac:dyDescent="0.3">
      <c r="A17" s="1" t="s">
        <v>44</v>
      </c>
      <c r="B17" s="24">
        <v>4.25</v>
      </c>
      <c r="C17" s="25">
        <f>11.98+6.94+6.29+7.93</f>
        <v>33.14</v>
      </c>
      <c r="D17" s="26">
        <f t="shared" si="0"/>
        <v>140.845</v>
      </c>
    </row>
    <row r="18" spans="1:4" x14ac:dyDescent="0.3">
      <c r="A18" s="1" t="s">
        <v>47</v>
      </c>
      <c r="B18" s="24">
        <v>4.25</v>
      </c>
      <c r="C18" s="25">
        <v>9.69</v>
      </c>
      <c r="D18" s="26">
        <f t="shared" si="0"/>
        <v>41.182499999999997</v>
      </c>
    </row>
    <row r="19" spans="1:4" x14ac:dyDescent="0.3">
      <c r="A19" s="1" t="s">
        <v>49</v>
      </c>
      <c r="B19" s="24">
        <v>3.25</v>
      </c>
      <c r="C19" s="25">
        <f>6.8+6.72+7.05+7.57+7.03+6.75</f>
        <v>41.92</v>
      </c>
      <c r="D19" s="26">
        <f t="shared" si="0"/>
        <v>136.24</v>
      </c>
    </row>
    <row r="20" spans="1:4" x14ac:dyDescent="0.3">
      <c r="A20" s="1" t="s">
        <v>45</v>
      </c>
      <c r="B20" s="24">
        <v>3</v>
      </c>
      <c r="C20" s="25">
        <f>5.75+5.52+1.19</f>
        <v>12.459999999999999</v>
      </c>
      <c r="D20" s="26">
        <f t="shared" si="0"/>
        <v>37.379999999999995</v>
      </c>
    </row>
    <row r="21" spans="1:4" x14ac:dyDescent="0.3">
      <c r="A21" s="1" t="s">
        <v>46</v>
      </c>
      <c r="B21" s="24">
        <v>6</v>
      </c>
      <c r="C21" s="25">
        <f>1.05+0.79+0.87+1+0.66+0.96+1.25+0.93+1.24+0.94+0.9</f>
        <v>10.59</v>
      </c>
      <c r="D21" s="26">
        <f t="shared" si="0"/>
        <v>63.54</v>
      </c>
    </row>
    <row r="22" spans="1:4" x14ac:dyDescent="0.3">
      <c r="A22" s="1" t="s">
        <v>48</v>
      </c>
      <c r="B22" s="24">
        <v>3</v>
      </c>
      <c r="C22" s="25">
        <f>7.88+8.12</f>
        <v>16</v>
      </c>
      <c r="D22" s="26">
        <f t="shared" si="0"/>
        <v>48</v>
      </c>
    </row>
    <row r="23" spans="1:4" x14ac:dyDescent="0.3">
      <c r="A23" s="1" t="s">
        <v>50</v>
      </c>
      <c r="B23" s="24">
        <v>3</v>
      </c>
      <c r="C23" s="25">
        <v>16.68</v>
      </c>
      <c r="D23" s="26">
        <f t="shared" si="0"/>
        <v>50.04</v>
      </c>
    </row>
    <row r="24" spans="1:4" x14ac:dyDescent="0.3">
      <c r="A24" s="1" t="s">
        <v>51</v>
      </c>
      <c r="B24" s="24">
        <v>3</v>
      </c>
      <c r="C24" s="25">
        <f>1.41+1.76+1.52</f>
        <v>4.6899999999999995</v>
      </c>
      <c r="D24" s="26">
        <f t="shared" si="0"/>
        <v>14.069999999999999</v>
      </c>
    </row>
    <row r="25" spans="1:4" x14ac:dyDescent="0.3">
      <c r="B25" s="24"/>
      <c r="C25" s="23">
        <f>SUM(C2:C24)</f>
        <v>1316.1500000000003</v>
      </c>
      <c r="D25" s="26">
        <f>SUM(D2:D24)</f>
        <v>5014.0999999999995</v>
      </c>
    </row>
    <row r="26" spans="1:4" x14ac:dyDescent="0.3">
      <c r="A26" s="25" t="s">
        <v>68</v>
      </c>
      <c r="B26" s="43" t="s">
        <v>85</v>
      </c>
      <c r="C26" s="42">
        <f>((B2*C2)+(B3*C3)+(B4*C4)+(B5*C5)+(B6*C6)+(B7*C7)+(B8*C8)+(B9*C9)+(B10*C10)+(B11*C11)+(B12*C12)+(B13*C13)+(B14*C14)+(B15*C15)+(B16*C16)+(B17*C17)+(B18*C18)+(B19*C19)+(B20*C20)+(B21*C21)+(B22*C22)+(B23*C23)+(B24*C24))/C25</f>
        <v>3.8096721498309449</v>
      </c>
    </row>
    <row r="28" spans="1:4" x14ac:dyDescent="0.3">
      <c r="D28" s="26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3"/>
  <sheetViews>
    <sheetView topLeftCell="A10" workbookViewId="0">
      <selection activeCell="G19" sqref="G19"/>
    </sheetView>
  </sheetViews>
  <sheetFormatPr defaultRowHeight="14.4" x14ac:dyDescent="0.3"/>
  <cols>
    <col min="2" max="2" width="32.33203125" customWidth="1"/>
    <col min="3" max="3" width="18.5546875" customWidth="1"/>
    <col min="4" max="5" width="17.33203125" customWidth="1"/>
    <col min="6" max="6" width="19.6640625" customWidth="1"/>
  </cols>
  <sheetData>
    <row r="2" spans="2:6" ht="31.2" x14ac:dyDescent="0.3">
      <c r="B2" s="28" t="s">
        <v>53</v>
      </c>
      <c r="C2" s="28" t="s">
        <v>54</v>
      </c>
      <c r="D2" s="28" t="s">
        <v>69</v>
      </c>
      <c r="E2" s="28" t="s">
        <v>65</v>
      </c>
      <c r="F2" s="28" t="s">
        <v>66</v>
      </c>
    </row>
    <row r="3" spans="2:6" ht="15.6" x14ac:dyDescent="0.3">
      <c r="B3" s="29" t="s">
        <v>73</v>
      </c>
      <c r="C3" s="30">
        <v>215</v>
      </c>
      <c r="D3" s="122">
        <f>28+50+25+56+15+100</f>
        <v>274</v>
      </c>
      <c r="E3" s="31">
        <v>3</v>
      </c>
      <c r="F3" s="31">
        <f>D3*E3</f>
        <v>822</v>
      </c>
    </row>
    <row r="4" spans="2:6" ht="15.6" x14ac:dyDescent="0.3">
      <c r="B4" s="29" t="s">
        <v>73</v>
      </c>
      <c r="C4" s="30"/>
      <c r="D4" s="122">
        <f>10</f>
        <v>10</v>
      </c>
      <c r="E4" s="31">
        <v>2.5</v>
      </c>
      <c r="F4" s="31">
        <f t="shared" ref="F4:F22" si="0">D4*E4</f>
        <v>25</v>
      </c>
    </row>
    <row r="5" spans="2:6" ht="15.6" x14ac:dyDescent="0.3">
      <c r="B5" s="29" t="s">
        <v>76</v>
      </c>
      <c r="C5" s="30"/>
      <c r="D5" s="122">
        <f>19.5</f>
        <v>19.5</v>
      </c>
      <c r="E5" s="31">
        <v>3</v>
      </c>
      <c r="F5" s="31">
        <f>D5*E5</f>
        <v>58.5</v>
      </c>
    </row>
    <row r="6" spans="2:6" ht="15.6" x14ac:dyDescent="0.3">
      <c r="B6" s="29" t="s">
        <v>113</v>
      </c>
      <c r="C6" s="30">
        <v>20</v>
      </c>
      <c r="D6" s="122"/>
      <c r="E6" s="31"/>
      <c r="F6" s="31">
        <f t="shared" si="0"/>
        <v>0</v>
      </c>
    </row>
    <row r="7" spans="2:6" ht="15.6" x14ac:dyDescent="0.3">
      <c r="B7" s="29" t="s">
        <v>55</v>
      </c>
      <c r="C7" s="30">
        <v>32</v>
      </c>
      <c r="D7" s="122">
        <f>16.77+6.94</f>
        <v>23.71</v>
      </c>
      <c r="E7" s="31">
        <v>3</v>
      </c>
      <c r="F7" s="31">
        <f t="shared" si="0"/>
        <v>71.13</v>
      </c>
    </row>
    <row r="8" spans="2:6" ht="15.6" x14ac:dyDescent="0.3">
      <c r="B8" s="29" t="s">
        <v>111</v>
      </c>
      <c r="C8" s="30"/>
      <c r="D8" s="122">
        <v>11.27</v>
      </c>
      <c r="E8" s="31">
        <v>3</v>
      </c>
      <c r="F8" s="31">
        <f>D8*E8</f>
        <v>33.81</v>
      </c>
    </row>
    <row r="9" spans="2:6" ht="15.6" x14ac:dyDescent="0.3">
      <c r="B9" s="95" t="s">
        <v>56</v>
      </c>
      <c r="C9" s="30">
        <v>25</v>
      </c>
      <c r="D9" s="122"/>
      <c r="E9" s="31"/>
      <c r="F9" s="31">
        <f t="shared" si="0"/>
        <v>0</v>
      </c>
    </row>
    <row r="10" spans="2:6" ht="15.6" x14ac:dyDescent="0.3">
      <c r="B10" s="95" t="s">
        <v>112</v>
      </c>
      <c r="C10" s="30">
        <v>6</v>
      </c>
      <c r="D10" s="122"/>
      <c r="E10" s="31"/>
      <c r="F10" s="31">
        <f t="shared" si="0"/>
        <v>0</v>
      </c>
    </row>
    <row r="11" spans="2:6" ht="15.6" x14ac:dyDescent="0.3">
      <c r="B11" s="95" t="s">
        <v>57</v>
      </c>
      <c r="C11" s="30">
        <v>22</v>
      </c>
      <c r="D11" s="122">
        <f>32.11</f>
        <v>32.11</v>
      </c>
      <c r="E11" s="31">
        <v>8</v>
      </c>
      <c r="F11" s="31">
        <f t="shared" si="0"/>
        <v>256.88</v>
      </c>
    </row>
    <row r="12" spans="2:6" ht="15.6" x14ac:dyDescent="0.3">
      <c r="B12" s="95" t="s">
        <v>79</v>
      </c>
      <c r="C12" s="30"/>
      <c r="D12" s="122">
        <f>3.68</f>
        <v>3.68</v>
      </c>
      <c r="E12" s="31">
        <v>6.25</v>
      </c>
      <c r="F12" s="31">
        <f t="shared" si="0"/>
        <v>23</v>
      </c>
    </row>
    <row r="13" spans="2:6" ht="15.6" x14ac:dyDescent="0.3">
      <c r="B13" s="95" t="s">
        <v>58</v>
      </c>
      <c r="C13" s="30">
        <v>11</v>
      </c>
      <c r="D13" s="122">
        <f>10.3</f>
        <v>10.3</v>
      </c>
      <c r="E13" s="31">
        <v>10</v>
      </c>
      <c r="F13" s="31">
        <f t="shared" si="0"/>
        <v>103</v>
      </c>
    </row>
    <row r="14" spans="2:6" ht="15.6" x14ac:dyDescent="0.3">
      <c r="B14" s="95" t="s">
        <v>81</v>
      </c>
      <c r="C14" s="30"/>
      <c r="D14" s="122">
        <f>4.36</f>
        <v>4.3600000000000003</v>
      </c>
      <c r="E14" s="31">
        <v>6.25</v>
      </c>
      <c r="F14" s="31">
        <f t="shared" si="0"/>
        <v>27.250000000000004</v>
      </c>
    </row>
    <row r="15" spans="2:6" ht="15.6" x14ac:dyDescent="0.3">
      <c r="B15" s="95" t="s">
        <v>59</v>
      </c>
      <c r="C15" s="30">
        <v>26</v>
      </c>
      <c r="D15" s="122">
        <f>17.29</f>
        <v>17.29</v>
      </c>
      <c r="E15" s="31">
        <v>7</v>
      </c>
      <c r="F15" s="31">
        <f t="shared" si="0"/>
        <v>121.03</v>
      </c>
    </row>
    <row r="16" spans="2:6" ht="15.6" x14ac:dyDescent="0.3">
      <c r="B16" s="95" t="s">
        <v>80</v>
      </c>
      <c r="C16" s="30"/>
      <c r="D16" s="122">
        <f>3.04</f>
        <v>3.04</v>
      </c>
      <c r="E16" s="31">
        <v>6.25</v>
      </c>
      <c r="F16" s="31">
        <f t="shared" si="0"/>
        <v>19</v>
      </c>
    </row>
    <row r="17" spans="2:8" ht="15.6" x14ac:dyDescent="0.3">
      <c r="B17" s="95" t="s">
        <v>78</v>
      </c>
      <c r="C17" s="30"/>
      <c r="D17" s="122">
        <f>6.53</f>
        <v>6.53</v>
      </c>
      <c r="E17" s="31">
        <v>6.25</v>
      </c>
      <c r="F17" s="31">
        <f t="shared" si="0"/>
        <v>40.8125</v>
      </c>
    </row>
    <row r="18" spans="2:8" ht="15.6" x14ac:dyDescent="0.3">
      <c r="B18" s="95" t="s">
        <v>60</v>
      </c>
      <c r="C18" s="30">
        <v>6</v>
      </c>
      <c r="D18" s="122"/>
      <c r="E18" s="31"/>
      <c r="F18" s="31">
        <f t="shared" si="0"/>
        <v>0</v>
      </c>
    </row>
    <row r="19" spans="2:8" ht="15.6" x14ac:dyDescent="0.3">
      <c r="B19" s="29" t="s">
        <v>61</v>
      </c>
      <c r="C19" s="30">
        <v>32</v>
      </c>
      <c r="D19" s="122">
        <f>11.98</f>
        <v>11.98</v>
      </c>
      <c r="E19" s="31">
        <v>4.25</v>
      </c>
      <c r="F19" s="31">
        <f t="shared" si="0"/>
        <v>50.914999999999999</v>
      </c>
    </row>
    <row r="20" spans="2:8" ht="15.6" x14ac:dyDescent="0.3">
      <c r="B20" s="29" t="s">
        <v>34</v>
      </c>
      <c r="C20" s="30"/>
      <c r="D20" s="122">
        <f>2.97</f>
        <v>2.97</v>
      </c>
      <c r="E20" s="31">
        <v>4.25</v>
      </c>
      <c r="F20" s="31">
        <f t="shared" si="0"/>
        <v>12.6225</v>
      </c>
    </row>
    <row r="21" spans="2:8" ht="15.6" x14ac:dyDescent="0.3">
      <c r="B21" s="29" t="s">
        <v>114</v>
      </c>
      <c r="C21" s="30">
        <v>24</v>
      </c>
      <c r="D21" s="122"/>
      <c r="E21" s="31"/>
      <c r="F21" s="31">
        <f t="shared" si="0"/>
        <v>0</v>
      </c>
    </row>
    <row r="22" spans="2:8" ht="15.6" x14ac:dyDescent="0.3">
      <c r="B22" s="29" t="s">
        <v>62</v>
      </c>
      <c r="C22" s="30">
        <v>10</v>
      </c>
      <c r="D22" s="41"/>
      <c r="E22" s="31"/>
      <c r="F22" s="31">
        <f t="shared" si="0"/>
        <v>0</v>
      </c>
      <c r="H22" t="s">
        <v>67</v>
      </c>
    </row>
    <row r="23" spans="2:8" ht="15.6" x14ac:dyDescent="0.3">
      <c r="B23" s="32" t="s">
        <v>63</v>
      </c>
      <c r="C23" s="33">
        <f>SUM(C3:C22)</f>
        <v>429</v>
      </c>
      <c r="D23" s="123">
        <f>SUM(D3:D22)</f>
        <v>430.74000000000007</v>
      </c>
      <c r="E23" s="34">
        <f>F23/D23</f>
        <v>3.8653247898964569</v>
      </c>
      <c r="F23" s="34">
        <f>SUM(F3:F22)</f>
        <v>1664.95</v>
      </c>
      <c r="G23" s="44"/>
    </row>
    <row r="24" spans="2:8" ht="15.6" x14ac:dyDescent="0.3">
      <c r="B24" s="35"/>
      <c r="C24" s="35" t="s">
        <v>64</v>
      </c>
      <c r="D24" s="35"/>
      <c r="E24" s="39" t="s">
        <v>106</v>
      </c>
      <c r="F24" s="40"/>
    </row>
    <row r="25" spans="2:8" ht="15.6" x14ac:dyDescent="0.3">
      <c r="B25" s="35"/>
      <c r="C25" s="35"/>
      <c r="D25" s="35"/>
      <c r="E25" s="39"/>
      <c r="F25" s="40"/>
    </row>
    <row r="26" spans="2:8" ht="15.6" x14ac:dyDescent="0.3">
      <c r="B26" t="s">
        <v>70</v>
      </c>
      <c r="C26" s="99" t="s">
        <v>115</v>
      </c>
      <c r="D26" s="101">
        <v>614</v>
      </c>
      <c r="E26" s="37"/>
      <c r="F26" s="38"/>
      <c r="G26" s="36"/>
    </row>
    <row r="27" spans="2:8" ht="15.6" x14ac:dyDescent="0.3">
      <c r="B27" t="s">
        <v>71</v>
      </c>
      <c r="C27" s="9" t="s">
        <v>116</v>
      </c>
      <c r="D27" s="102">
        <f>D23</f>
        <v>430.74000000000007</v>
      </c>
    </row>
    <row r="28" spans="2:8" ht="15.6" x14ac:dyDescent="0.3">
      <c r="B28" t="s">
        <v>72</v>
      </c>
      <c r="C28" s="9" t="s">
        <v>117</v>
      </c>
      <c r="D28" s="103">
        <f>D27/D26</f>
        <v>0.70153094462540733</v>
      </c>
    </row>
    <row r="29" spans="2:8" ht="15.6" x14ac:dyDescent="0.3">
      <c r="B29" t="s">
        <v>74</v>
      </c>
      <c r="C29" s="9" t="s">
        <v>118</v>
      </c>
      <c r="D29" s="31">
        <f>F23/D26</f>
        <v>2.7116449511400651</v>
      </c>
    </row>
    <row r="30" spans="2:8" x14ac:dyDescent="0.3">
      <c r="B30" t="s">
        <v>75</v>
      </c>
    </row>
    <row r="31" spans="2:8" x14ac:dyDescent="0.3">
      <c r="B31" t="s">
        <v>77</v>
      </c>
    </row>
    <row r="32" spans="2:8" x14ac:dyDescent="0.3">
      <c r="B32" t="s">
        <v>82</v>
      </c>
    </row>
    <row r="33" spans="2:5" x14ac:dyDescent="0.3">
      <c r="B33" t="s">
        <v>83</v>
      </c>
    </row>
    <row r="34" spans="2:5" x14ac:dyDescent="0.3">
      <c r="B34" t="s">
        <v>84</v>
      </c>
    </row>
    <row r="36" spans="2:5" x14ac:dyDescent="0.3">
      <c r="C36" s="25"/>
    </row>
    <row r="37" spans="2:5" ht="15.6" x14ac:dyDescent="0.3">
      <c r="C37" s="25"/>
      <c r="D37" s="31"/>
    </row>
    <row r="38" spans="2:5" ht="15.6" x14ac:dyDescent="0.3">
      <c r="C38" s="45"/>
      <c r="D38" s="31"/>
      <c r="E38" s="31"/>
    </row>
    <row r="39" spans="2:5" ht="15.6" x14ac:dyDescent="0.3">
      <c r="C39" s="45"/>
      <c r="D39" s="31"/>
      <c r="E39" s="31"/>
    </row>
    <row r="40" spans="2:5" ht="15.6" x14ac:dyDescent="0.3">
      <c r="C40" s="45"/>
      <c r="D40" s="31"/>
      <c r="E40" s="31"/>
    </row>
    <row r="41" spans="2:5" ht="15.6" x14ac:dyDescent="0.3">
      <c r="C41" s="45"/>
      <c r="D41" s="31"/>
      <c r="E41" s="31"/>
    </row>
    <row r="42" spans="2:5" ht="15.6" x14ac:dyDescent="0.3">
      <c r="C42" s="45"/>
      <c r="D42" s="31"/>
      <c r="E42" s="31"/>
    </row>
    <row r="43" spans="2:5" ht="15.6" x14ac:dyDescent="0.3">
      <c r="C43" s="45"/>
      <c r="D43" s="31"/>
      <c r="E43" s="31"/>
    </row>
    <row r="44" spans="2:5" ht="15.6" x14ac:dyDescent="0.3">
      <c r="C44" s="45"/>
      <c r="D44" s="31"/>
      <c r="E44" s="31"/>
    </row>
    <row r="45" spans="2:5" ht="15.6" x14ac:dyDescent="0.3">
      <c r="C45" s="45"/>
      <c r="D45" s="31"/>
      <c r="E45" s="31"/>
    </row>
    <row r="46" spans="2:5" ht="15.6" x14ac:dyDescent="0.3">
      <c r="C46" s="45"/>
      <c r="D46" s="31"/>
      <c r="E46" s="31"/>
    </row>
    <row r="47" spans="2:5" ht="15.6" x14ac:dyDescent="0.3">
      <c r="C47" s="45"/>
      <c r="D47" s="31"/>
      <c r="E47" s="31"/>
    </row>
    <row r="48" spans="2:5" ht="15.6" x14ac:dyDescent="0.3">
      <c r="C48" s="45"/>
      <c r="D48" s="31"/>
      <c r="E48" s="31"/>
    </row>
    <row r="49" spans="3:5" ht="15.6" x14ac:dyDescent="0.3">
      <c r="C49" s="45"/>
      <c r="D49" s="31"/>
      <c r="E49" s="31"/>
    </row>
    <row r="50" spans="3:5" ht="15.6" x14ac:dyDescent="0.3">
      <c r="C50" s="45"/>
      <c r="D50" s="31"/>
      <c r="E50" s="31"/>
    </row>
    <row r="51" spans="3:5" ht="15.6" x14ac:dyDescent="0.3">
      <c r="C51" s="23"/>
      <c r="D51" s="34"/>
      <c r="E51" s="46"/>
    </row>
    <row r="52" spans="3:5" ht="15.6" x14ac:dyDescent="0.3">
      <c r="D52" s="31"/>
    </row>
    <row r="53" spans="3:5" ht="15.6" x14ac:dyDescent="0.3">
      <c r="D53" s="3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2"/>
  <sheetViews>
    <sheetView workbookViewId="0">
      <selection activeCell="A13" sqref="A13:XFD13"/>
    </sheetView>
  </sheetViews>
  <sheetFormatPr defaultColWidth="8.88671875" defaultRowHeight="14.4" x14ac:dyDescent="0.3"/>
  <cols>
    <col min="1" max="1" width="5.44140625" style="47" customWidth="1"/>
    <col min="2" max="2" width="32.33203125" style="47" customWidth="1"/>
    <col min="3" max="3" width="10.88671875" style="47" customWidth="1"/>
    <col min="4" max="4" width="13.5546875" style="47" customWidth="1"/>
    <col min="5" max="5" width="9.109375" style="47" bestFit="1" customWidth="1"/>
    <col min="6" max="6" width="8.88671875" style="47"/>
    <col min="7" max="7" width="11.109375" style="47" customWidth="1"/>
    <col min="8" max="16384" width="8.88671875" style="47"/>
  </cols>
  <sheetData>
    <row r="2" spans="2:8" x14ac:dyDescent="0.3">
      <c r="B2" s="52" t="s">
        <v>138</v>
      </c>
      <c r="C2" s="130" t="s">
        <v>135</v>
      </c>
      <c r="D2" s="131"/>
      <c r="H2" s="49"/>
    </row>
    <row r="3" spans="2:8" ht="28.8" x14ac:dyDescent="0.3">
      <c r="B3" s="48" t="s">
        <v>167</v>
      </c>
      <c r="C3" s="50" t="s">
        <v>87</v>
      </c>
      <c r="D3" s="51" t="s">
        <v>92</v>
      </c>
      <c r="E3" s="52" t="s">
        <v>137</v>
      </c>
    </row>
    <row r="4" spans="2:8" ht="15.6" x14ac:dyDescent="0.3">
      <c r="B4" s="29" t="s">
        <v>143</v>
      </c>
      <c r="C4" s="47">
        <f>50+15+100+150+30+50+150+50</f>
        <v>595</v>
      </c>
      <c r="D4" s="53">
        <v>3</v>
      </c>
      <c r="E4" s="53">
        <f t="shared" ref="E4:E13" si="0">C4*D4</f>
        <v>1785</v>
      </c>
    </row>
    <row r="5" spans="2:8" ht="15.6" x14ac:dyDescent="0.3">
      <c r="B5" s="29" t="s">
        <v>144</v>
      </c>
      <c r="C5" s="124">
        <v>10</v>
      </c>
      <c r="D5" s="53">
        <v>2.5</v>
      </c>
      <c r="E5" s="53">
        <f t="shared" si="0"/>
        <v>25</v>
      </c>
    </row>
    <row r="6" spans="2:8" ht="15.6" x14ac:dyDescent="0.3">
      <c r="B6" s="95" t="s">
        <v>145</v>
      </c>
      <c r="C6" s="124">
        <v>16.68</v>
      </c>
      <c r="D6" s="53">
        <v>3</v>
      </c>
      <c r="E6" s="53">
        <f t="shared" si="0"/>
        <v>50.04</v>
      </c>
    </row>
    <row r="7" spans="2:8" ht="15.6" x14ac:dyDescent="0.3">
      <c r="B7" s="95" t="s">
        <v>146</v>
      </c>
      <c r="C7" s="124">
        <f>16.7+15.41+14.43+14.79+8.18+8.44</f>
        <v>77.949999999999989</v>
      </c>
      <c r="D7" s="53">
        <v>8</v>
      </c>
      <c r="E7" s="53">
        <f t="shared" si="0"/>
        <v>623.59999999999991</v>
      </c>
    </row>
    <row r="8" spans="2:8" ht="15.6" x14ac:dyDescent="0.3">
      <c r="B8" s="95" t="s">
        <v>147</v>
      </c>
      <c r="C8" s="125">
        <f>5.05+5.25+4.35+4.95+5.22</f>
        <v>24.82</v>
      </c>
      <c r="D8" s="53">
        <v>10</v>
      </c>
      <c r="E8" s="53">
        <f t="shared" si="0"/>
        <v>248.2</v>
      </c>
    </row>
    <row r="9" spans="2:8" ht="15.6" x14ac:dyDescent="0.3">
      <c r="B9" s="95" t="s">
        <v>148</v>
      </c>
      <c r="C9" s="129">
        <f>8.77+8.52+9.13+8.24</f>
        <v>34.660000000000004</v>
      </c>
      <c r="D9" s="53">
        <v>7</v>
      </c>
      <c r="E9" s="53">
        <f t="shared" si="0"/>
        <v>242.62000000000003</v>
      </c>
    </row>
    <row r="10" spans="2:8" ht="15.6" x14ac:dyDescent="0.3">
      <c r="B10" s="29" t="s">
        <v>149</v>
      </c>
      <c r="C10" s="126">
        <f>6.8+6.72+7.05+7.57+7.03+6.75</f>
        <v>41.92</v>
      </c>
      <c r="D10" s="53">
        <v>3.25</v>
      </c>
      <c r="E10" s="53">
        <f t="shared" si="0"/>
        <v>136.24</v>
      </c>
    </row>
    <row r="11" spans="2:8" ht="15.6" x14ac:dyDescent="0.3">
      <c r="B11" s="29" t="s">
        <v>150</v>
      </c>
      <c r="C11" s="126">
        <f>1.57+1.4+1.35+1.13+1.79+1.83+1.54+1.55</f>
        <v>12.16</v>
      </c>
      <c r="D11" s="53">
        <v>4.25</v>
      </c>
      <c r="E11" s="53">
        <f t="shared" si="0"/>
        <v>51.68</v>
      </c>
    </row>
    <row r="12" spans="2:8" ht="15.6" x14ac:dyDescent="0.3">
      <c r="B12" s="29" t="s">
        <v>151</v>
      </c>
      <c r="C12" s="126">
        <f>7.88+8.12</f>
        <v>16</v>
      </c>
      <c r="D12" s="53">
        <v>3</v>
      </c>
      <c r="E12" s="53">
        <f t="shared" si="0"/>
        <v>48</v>
      </c>
    </row>
    <row r="13" spans="2:8" ht="15.6" x14ac:dyDescent="0.3">
      <c r="B13" s="29" t="s">
        <v>152</v>
      </c>
      <c r="C13" s="126">
        <f>1.41+1.76+1.52</f>
        <v>4.6899999999999995</v>
      </c>
      <c r="D13" s="53">
        <v>3</v>
      </c>
      <c r="E13" s="53">
        <f t="shared" si="0"/>
        <v>14.069999999999999</v>
      </c>
    </row>
    <row r="14" spans="2:8" x14ac:dyDescent="0.3">
      <c r="C14" s="127">
        <f>SUM(C4:C13)</f>
        <v>833.87999999999988</v>
      </c>
      <c r="D14" s="54">
        <f>E14/C14</f>
        <v>3.8668033769846986</v>
      </c>
      <c r="E14" s="54">
        <f>SUM(E4:E13)</f>
        <v>3224.45</v>
      </c>
    </row>
    <row r="15" spans="2:8" x14ac:dyDescent="0.3">
      <c r="D15" s="53" t="s">
        <v>85</v>
      </c>
    </row>
    <row r="16" spans="2:8" x14ac:dyDescent="0.3">
      <c r="C16" s="55"/>
    </row>
    <row r="17" spans="2:8" x14ac:dyDescent="0.3">
      <c r="B17" s="47" t="s">
        <v>153</v>
      </c>
    </row>
    <row r="19" spans="2:8" x14ac:dyDescent="0.3">
      <c r="B19" s="47" t="s">
        <v>107</v>
      </c>
      <c r="C19" s="47" t="s">
        <v>52</v>
      </c>
      <c r="H19" s="53"/>
    </row>
    <row r="20" spans="2:8" x14ac:dyDescent="0.3">
      <c r="B20" s="47">
        <v>384146</v>
      </c>
      <c r="C20" s="53">
        <v>256.88</v>
      </c>
      <c r="H20" s="53"/>
    </row>
    <row r="21" spans="2:8" x14ac:dyDescent="0.3">
      <c r="B21" s="47">
        <v>384147</v>
      </c>
      <c r="C21" s="53">
        <v>386.65</v>
      </c>
      <c r="H21" s="53"/>
    </row>
    <row r="22" spans="2:8" x14ac:dyDescent="0.3">
      <c r="B22" s="47">
        <v>384148</v>
      </c>
      <c r="C22" s="53">
        <v>25</v>
      </c>
      <c r="H22" s="53"/>
    </row>
    <row r="23" spans="2:8" x14ac:dyDescent="0.3">
      <c r="B23" s="47">
        <v>581552</v>
      </c>
      <c r="C23" s="53">
        <v>45</v>
      </c>
      <c r="H23" s="53"/>
    </row>
    <row r="24" spans="2:8" x14ac:dyDescent="0.3">
      <c r="B24" s="47">
        <v>581553</v>
      </c>
      <c r="C24" s="53">
        <v>300</v>
      </c>
      <c r="H24" s="53"/>
    </row>
    <row r="25" spans="2:8" x14ac:dyDescent="0.3">
      <c r="B25" s="47">
        <v>581554</v>
      </c>
      <c r="C25" s="53">
        <v>683.76</v>
      </c>
      <c r="H25" s="53"/>
    </row>
    <row r="26" spans="2:8" x14ac:dyDescent="0.3">
      <c r="B26" s="47">
        <v>581556</v>
      </c>
      <c r="C26" s="53">
        <v>90</v>
      </c>
      <c r="H26" s="53"/>
    </row>
    <row r="27" spans="2:8" x14ac:dyDescent="0.3">
      <c r="B27" s="47">
        <v>581557</v>
      </c>
      <c r="C27" s="53">
        <v>588.80999999999995</v>
      </c>
      <c r="H27" s="53"/>
    </row>
    <row r="28" spans="2:8" x14ac:dyDescent="0.3">
      <c r="B28" s="47">
        <v>581560</v>
      </c>
      <c r="C28" s="53">
        <v>48</v>
      </c>
      <c r="H28" s="53"/>
    </row>
    <row r="29" spans="2:8" x14ac:dyDescent="0.3">
      <c r="B29" s="47">
        <v>581561</v>
      </c>
      <c r="C29" s="53">
        <v>450</v>
      </c>
    </row>
    <row r="30" spans="2:8" x14ac:dyDescent="0.3">
      <c r="B30" s="47">
        <v>581562</v>
      </c>
      <c r="C30" s="53">
        <v>350.35</v>
      </c>
    </row>
    <row r="31" spans="2:8" x14ac:dyDescent="0.3">
      <c r="C31" s="54">
        <f>SUM(C20:C30)</f>
        <v>3224.45</v>
      </c>
    </row>
    <row r="32" spans="2:8" x14ac:dyDescent="0.3">
      <c r="C32" s="53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5"/>
  <sheetViews>
    <sheetView topLeftCell="A11" workbookViewId="0">
      <selection activeCell="J39" sqref="J39"/>
    </sheetView>
  </sheetViews>
  <sheetFormatPr defaultRowHeight="14.4" x14ac:dyDescent="0.3"/>
  <cols>
    <col min="1" max="1" width="3.88671875" customWidth="1"/>
    <col min="2" max="2" width="29.6640625" customWidth="1"/>
    <col min="3" max="3" width="14.33203125" customWidth="1"/>
    <col min="4" max="5" width="11.88671875" customWidth="1"/>
    <col min="6" max="6" width="8.88671875" style="25"/>
    <col min="7" max="7" width="11.44140625" style="25" customWidth="1"/>
    <col min="8" max="8" width="14.33203125" customWidth="1"/>
  </cols>
  <sheetData>
    <row r="2" spans="2:8" x14ac:dyDescent="0.3">
      <c r="B2" t="s">
        <v>179</v>
      </c>
      <c r="D2" t="s">
        <v>180</v>
      </c>
    </row>
    <row r="4" spans="2:8" ht="15.6" x14ac:dyDescent="0.3">
      <c r="B4" s="134" t="s">
        <v>169</v>
      </c>
    </row>
    <row r="5" spans="2:8" x14ac:dyDescent="0.3">
      <c r="B5" s="130" t="s">
        <v>135</v>
      </c>
      <c r="H5" s="25" t="s">
        <v>178</v>
      </c>
    </row>
    <row r="6" spans="2:8" ht="43.2" x14ac:dyDescent="0.3">
      <c r="B6" s="48" t="s">
        <v>167</v>
      </c>
      <c r="C6" s="50" t="s">
        <v>87</v>
      </c>
      <c r="D6" s="51" t="s">
        <v>92</v>
      </c>
      <c r="E6" s="52" t="s">
        <v>137</v>
      </c>
      <c r="F6" s="51" t="s">
        <v>181</v>
      </c>
      <c r="G6" s="146" t="s">
        <v>183</v>
      </c>
      <c r="H6" s="133" t="s">
        <v>91</v>
      </c>
    </row>
    <row r="7" spans="2:8" ht="15.6" x14ac:dyDescent="0.3">
      <c r="B7" s="137" t="s">
        <v>168</v>
      </c>
      <c r="C7" s="147"/>
      <c r="D7" s="139"/>
      <c r="E7" s="138"/>
      <c r="F7" s="142">
        <f>SUM(C8:C10)</f>
        <v>630</v>
      </c>
      <c r="G7" s="156">
        <f>F7/C39</f>
        <v>0.49176488954804476</v>
      </c>
      <c r="H7" s="135">
        <v>0.26</v>
      </c>
    </row>
    <row r="8" spans="2:8" s="47" customFormat="1" ht="15.6" x14ac:dyDescent="0.3">
      <c r="B8" s="29" t="s">
        <v>143</v>
      </c>
      <c r="C8" s="148">
        <f>50+15+100+150+30+50+150+50</f>
        <v>595</v>
      </c>
      <c r="D8" s="53">
        <v>3</v>
      </c>
      <c r="E8" s="53">
        <f>C8*D8</f>
        <v>1785</v>
      </c>
      <c r="G8" s="128"/>
    </row>
    <row r="9" spans="2:8" s="47" customFormat="1" ht="15.6" x14ac:dyDescent="0.3">
      <c r="B9" s="29" t="s">
        <v>144</v>
      </c>
      <c r="C9" s="149">
        <v>10</v>
      </c>
      <c r="D9" s="53">
        <v>2.5</v>
      </c>
      <c r="E9" s="53">
        <f>C9*D9</f>
        <v>25</v>
      </c>
      <c r="G9" s="128"/>
    </row>
    <row r="10" spans="2:8" s="47" customFormat="1" ht="15.6" x14ac:dyDescent="0.3">
      <c r="B10" s="29" t="s">
        <v>155</v>
      </c>
      <c r="C10" s="149">
        <f>25</f>
        <v>25</v>
      </c>
      <c r="D10" s="53">
        <v>2.5</v>
      </c>
      <c r="E10" s="53">
        <f>C10*D10</f>
        <v>62.5</v>
      </c>
      <c r="G10" s="128"/>
    </row>
    <row r="11" spans="2:8" ht="15.6" x14ac:dyDescent="0.3">
      <c r="B11" s="137" t="s">
        <v>173</v>
      </c>
      <c r="C11" s="147"/>
      <c r="D11" s="139"/>
      <c r="E11" s="140"/>
      <c r="F11" s="143">
        <f>SUM(C12:C14)</f>
        <v>269.14</v>
      </c>
      <c r="G11" s="156">
        <f>F11/C39</f>
        <v>0.21008508313168375</v>
      </c>
      <c r="H11" s="135">
        <v>0.27</v>
      </c>
    </row>
    <row r="12" spans="2:8" s="47" customFormat="1" ht="15.6" x14ac:dyDescent="0.3">
      <c r="B12" s="95" t="s">
        <v>145</v>
      </c>
      <c r="C12" s="149">
        <v>16.68</v>
      </c>
      <c r="D12" s="53">
        <v>3</v>
      </c>
      <c r="E12" s="53">
        <f>C12*D12</f>
        <v>50.04</v>
      </c>
      <c r="G12" s="128"/>
    </row>
    <row r="13" spans="2:8" s="47" customFormat="1" ht="15.6" x14ac:dyDescent="0.3">
      <c r="B13" s="29" t="s">
        <v>157</v>
      </c>
      <c r="C13" s="149">
        <f>5.75+5.52+1.19</f>
        <v>12.459999999999999</v>
      </c>
      <c r="D13" s="53">
        <v>3</v>
      </c>
      <c r="E13" s="53">
        <f>C13*D13</f>
        <v>37.379999999999995</v>
      </c>
      <c r="G13" s="128"/>
    </row>
    <row r="14" spans="2:8" s="47" customFormat="1" ht="15.6" x14ac:dyDescent="0.3">
      <c r="B14" s="29" t="s">
        <v>154</v>
      </c>
      <c r="C14" s="148">
        <f>28+25+56+106+25</f>
        <v>240</v>
      </c>
      <c r="D14" s="53">
        <v>3</v>
      </c>
      <c r="E14" s="53">
        <f>C14*D14</f>
        <v>720</v>
      </c>
      <c r="G14" s="128"/>
    </row>
    <row r="15" spans="2:8" ht="15.6" x14ac:dyDescent="0.3">
      <c r="B15" s="137" t="s">
        <v>174</v>
      </c>
      <c r="C15" s="147"/>
      <c r="D15" s="139"/>
      <c r="E15" s="137"/>
      <c r="F15" s="143">
        <f>SUM(C16:C17)</f>
        <v>81.63</v>
      </c>
      <c r="G15" s="156">
        <f>F15/C39</f>
        <v>6.3718679260010944E-2</v>
      </c>
      <c r="H15" s="135">
        <v>9.5000000000000001E-2</v>
      </c>
    </row>
    <row r="16" spans="2:8" s="47" customFormat="1" ht="15.6" x14ac:dyDescent="0.3">
      <c r="B16" s="95" t="s">
        <v>146</v>
      </c>
      <c r="C16" s="149">
        <f>16.7+15.41+14.43+14.79+8.18+8.44</f>
        <v>77.949999999999989</v>
      </c>
      <c r="D16" s="53">
        <v>8</v>
      </c>
      <c r="E16" s="53">
        <f>C16*D16</f>
        <v>623.59999999999991</v>
      </c>
      <c r="G16" s="128"/>
    </row>
    <row r="17" spans="2:9" s="47" customFormat="1" ht="15.6" x14ac:dyDescent="0.3">
      <c r="B17" s="95" t="s">
        <v>159</v>
      </c>
      <c r="C17" s="149">
        <f>3.68</f>
        <v>3.68</v>
      </c>
      <c r="D17" s="53">
        <v>6.25</v>
      </c>
      <c r="E17" s="53">
        <f>C17*D17</f>
        <v>23</v>
      </c>
      <c r="G17" s="128"/>
    </row>
    <row r="18" spans="2:9" ht="15.6" x14ac:dyDescent="0.3">
      <c r="B18" s="137" t="s">
        <v>175</v>
      </c>
      <c r="C18" s="147"/>
      <c r="D18" s="139"/>
      <c r="E18" s="137"/>
      <c r="F18" s="143">
        <f>SUM(C19:C25)</f>
        <v>102.25</v>
      </c>
      <c r="G18" s="156">
        <f>F18/C39</f>
        <v>7.9814222152837427E-2</v>
      </c>
      <c r="H18" s="135">
        <v>0.08</v>
      </c>
    </row>
    <row r="19" spans="2:9" s="47" customFormat="1" ht="15.6" x14ac:dyDescent="0.3">
      <c r="B19" s="95" t="s">
        <v>147</v>
      </c>
      <c r="C19" s="148">
        <f>5.05+5.25+4.35+4.95+5.22</f>
        <v>24.82</v>
      </c>
      <c r="D19" s="53">
        <v>10</v>
      </c>
      <c r="E19" s="53">
        <f t="shared" ref="E19:E24" si="0">C19*D19</f>
        <v>248.2</v>
      </c>
      <c r="G19" s="128"/>
    </row>
    <row r="20" spans="2:9" s="47" customFormat="1" ht="15.6" x14ac:dyDescent="0.3">
      <c r="B20" s="95" t="s">
        <v>148</v>
      </c>
      <c r="C20" s="150">
        <f>8.77+8.52+9.13+8.24</f>
        <v>34.660000000000004</v>
      </c>
      <c r="D20" s="53">
        <v>7</v>
      </c>
      <c r="E20" s="53">
        <f t="shared" si="0"/>
        <v>242.62000000000003</v>
      </c>
      <c r="G20" s="128"/>
    </row>
    <row r="21" spans="2:9" s="47" customFormat="1" ht="15.6" x14ac:dyDescent="0.3">
      <c r="B21" s="95" t="s">
        <v>160</v>
      </c>
      <c r="C21" s="148">
        <f>4.36</f>
        <v>4.3600000000000003</v>
      </c>
      <c r="D21" s="53">
        <v>6.25</v>
      </c>
      <c r="E21" s="53">
        <f t="shared" si="0"/>
        <v>27.250000000000004</v>
      </c>
      <c r="G21" s="128"/>
    </row>
    <row r="22" spans="2:9" s="47" customFormat="1" ht="15.6" x14ac:dyDescent="0.3">
      <c r="B22" s="95" t="s">
        <v>161</v>
      </c>
      <c r="C22" s="148">
        <f>5.18+5.09</f>
        <v>10.27</v>
      </c>
      <c r="D22" s="53">
        <v>12</v>
      </c>
      <c r="E22" s="53">
        <f t="shared" si="0"/>
        <v>123.24</v>
      </c>
      <c r="G22" s="128"/>
    </row>
    <row r="23" spans="2:9" s="47" customFormat="1" ht="15.6" x14ac:dyDescent="0.3">
      <c r="B23" s="95" t="s">
        <v>162</v>
      </c>
      <c r="C23" s="150">
        <f>3.04</f>
        <v>3.04</v>
      </c>
      <c r="D23" s="53">
        <v>6.25</v>
      </c>
      <c r="E23" s="53">
        <f t="shared" si="0"/>
        <v>19</v>
      </c>
      <c r="G23" s="128"/>
    </row>
    <row r="24" spans="2:9" s="47" customFormat="1" ht="15.6" x14ac:dyDescent="0.3">
      <c r="B24" s="95" t="s">
        <v>163</v>
      </c>
      <c r="C24" s="150">
        <f>8.43+10.14</f>
        <v>18.57</v>
      </c>
      <c r="D24" s="53">
        <v>9</v>
      </c>
      <c r="E24" s="53">
        <f t="shared" si="0"/>
        <v>167.13</v>
      </c>
      <c r="G24" s="128"/>
    </row>
    <row r="25" spans="2:9" s="47" customFormat="1" ht="15.6" x14ac:dyDescent="0.3">
      <c r="B25" s="95" t="s">
        <v>164</v>
      </c>
      <c r="C25" s="150">
        <f>6.53</f>
        <v>6.53</v>
      </c>
      <c r="D25" s="53">
        <v>6.25</v>
      </c>
      <c r="E25" s="53">
        <v>40.840000000000003</v>
      </c>
      <c r="G25" s="128"/>
    </row>
    <row r="26" spans="2:9" ht="15.6" x14ac:dyDescent="0.3">
      <c r="B26" s="137" t="s">
        <v>176</v>
      </c>
      <c r="C26" s="147"/>
      <c r="D26" s="139"/>
      <c r="E26" s="137"/>
      <c r="F26" s="143">
        <f>SUM(C27:C28)</f>
        <v>84.75</v>
      </c>
      <c r="G26" s="156">
        <f>F26/C39</f>
        <v>6.6154086332058409E-2</v>
      </c>
      <c r="H26" s="135">
        <v>0.09</v>
      </c>
    </row>
    <row r="27" spans="2:9" s="47" customFormat="1" ht="15.6" x14ac:dyDescent="0.3">
      <c r="B27" s="29" t="s">
        <v>149</v>
      </c>
      <c r="C27" s="151">
        <f>6.8+6.72+7.05+7.57+7.03+6.75</f>
        <v>41.92</v>
      </c>
      <c r="D27" s="53">
        <v>3.25</v>
      </c>
      <c r="E27" s="53">
        <f>C27*D27</f>
        <v>136.24</v>
      </c>
      <c r="G27" s="128"/>
    </row>
    <row r="28" spans="2:9" s="47" customFormat="1" ht="15.6" x14ac:dyDescent="0.3">
      <c r="B28" s="29" t="s">
        <v>165</v>
      </c>
      <c r="C28" s="151">
        <f>11.98+6.94+6.29+9.69+7.93</f>
        <v>42.83</v>
      </c>
      <c r="D28" s="53">
        <v>4.25</v>
      </c>
      <c r="E28" s="53">
        <f>C28*D28</f>
        <v>182.0275</v>
      </c>
      <c r="G28" s="128"/>
      <c r="I28" s="53"/>
    </row>
    <row r="29" spans="2:9" ht="15.6" x14ac:dyDescent="0.3">
      <c r="B29" s="137" t="s">
        <v>170</v>
      </c>
      <c r="C29" s="147"/>
      <c r="D29" s="139"/>
      <c r="E29" s="140"/>
      <c r="F29" s="143">
        <f>SUM(C30:C31)</f>
        <v>22.75</v>
      </c>
      <c r="G29" s="156">
        <f>F29/C39</f>
        <v>1.7758176567012729E-2</v>
      </c>
      <c r="H29" s="135">
        <v>9.5000000000000001E-2</v>
      </c>
    </row>
    <row r="30" spans="2:9" s="47" customFormat="1" ht="15.6" x14ac:dyDescent="0.3">
      <c r="B30" s="29" t="s">
        <v>150</v>
      </c>
      <c r="C30" s="151">
        <f>1.57+1.4+1.35+1.13+1.79+1.83+1.54+1.55</f>
        <v>12.16</v>
      </c>
      <c r="D30" s="53">
        <v>4.25</v>
      </c>
      <c r="E30" s="53">
        <f>C30*D30</f>
        <v>51.68</v>
      </c>
      <c r="G30" s="128"/>
    </row>
    <row r="31" spans="2:9" s="47" customFormat="1" ht="15.6" x14ac:dyDescent="0.3">
      <c r="B31" s="29" t="s">
        <v>166</v>
      </c>
      <c r="C31" s="151">
        <f>1.05+0.79+0.87+1+0.66+0.96+1.25+0.93+1.24+0.94+0.9</f>
        <v>10.59</v>
      </c>
      <c r="D31" s="53">
        <v>6</v>
      </c>
      <c r="E31" s="53">
        <f>C31*D31</f>
        <v>63.54</v>
      </c>
      <c r="G31" s="128"/>
      <c r="I31" s="53"/>
    </row>
    <row r="32" spans="2:9" ht="15.6" x14ac:dyDescent="0.3">
      <c r="B32" s="137" t="s">
        <v>171</v>
      </c>
      <c r="C32" s="147"/>
      <c r="D32" s="139"/>
      <c r="E32" s="140"/>
      <c r="F32" s="143">
        <f>SUM(C33)</f>
        <v>16</v>
      </c>
      <c r="G32" s="156">
        <f>F32/C39</f>
        <v>1.248926703614082E-2</v>
      </c>
      <c r="H32" s="135">
        <v>0.1</v>
      </c>
    </row>
    <row r="33" spans="2:8" s="47" customFormat="1" ht="15.6" x14ac:dyDescent="0.3">
      <c r="B33" s="29" t="s">
        <v>151</v>
      </c>
      <c r="C33" s="151">
        <f>7.88+8.12</f>
        <v>16</v>
      </c>
      <c r="D33" s="53">
        <v>3</v>
      </c>
      <c r="E33" s="53">
        <f>C33*D33</f>
        <v>48</v>
      </c>
      <c r="G33" s="128"/>
    </row>
    <row r="34" spans="2:8" ht="15.6" x14ac:dyDescent="0.3">
      <c r="B34" s="137" t="s">
        <v>172</v>
      </c>
      <c r="C34" s="147"/>
      <c r="D34" s="139"/>
      <c r="E34" s="140"/>
      <c r="F34" s="143">
        <f>SUM(C35:C36)</f>
        <v>69.89</v>
      </c>
      <c r="G34" s="156">
        <f>F34/C39</f>
        <v>5.4554679572242616E-2</v>
      </c>
      <c r="H34" s="135">
        <v>0.01</v>
      </c>
    </row>
    <row r="35" spans="2:8" s="47" customFormat="1" ht="15.6" x14ac:dyDescent="0.3">
      <c r="B35" s="29" t="s">
        <v>158</v>
      </c>
      <c r="C35" s="149">
        <f>5.64+6+5.43+2.43+5.14+5.72+5.22</f>
        <v>35.58</v>
      </c>
      <c r="D35" s="53">
        <v>3</v>
      </c>
      <c r="E35" s="53">
        <f>C35*D35</f>
        <v>106.74</v>
      </c>
      <c r="G35" s="128"/>
    </row>
    <row r="36" spans="2:8" s="47" customFormat="1" ht="15.6" x14ac:dyDescent="0.3">
      <c r="B36" s="29" t="s">
        <v>156</v>
      </c>
      <c r="C36" s="149">
        <f>6.04+5.38+5.35+6.94+5.23+5.37</f>
        <v>34.31</v>
      </c>
      <c r="D36" s="53">
        <v>3</v>
      </c>
      <c r="E36" s="53">
        <f>C36*D36</f>
        <v>102.93</v>
      </c>
      <c r="G36" s="128"/>
    </row>
    <row r="37" spans="2:8" s="47" customFormat="1" ht="15.6" x14ac:dyDescent="0.3">
      <c r="B37" s="137" t="s">
        <v>182</v>
      </c>
      <c r="C37" s="152"/>
      <c r="D37" s="144"/>
      <c r="E37" s="144"/>
      <c r="F37" s="145">
        <f>C38</f>
        <v>4.6899999999999995</v>
      </c>
      <c r="G37" s="155"/>
    </row>
    <row r="38" spans="2:8" s="47" customFormat="1" ht="15.6" x14ac:dyDescent="0.3">
      <c r="B38" s="29" t="s">
        <v>152</v>
      </c>
      <c r="C38" s="151">
        <f>1.41+1.76+1.52</f>
        <v>4.6899999999999995</v>
      </c>
      <c r="D38" s="53">
        <v>3</v>
      </c>
      <c r="E38" s="53">
        <f>C38*D38</f>
        <v>14.069999999999999</v>
      </c>
      <c r="G38" s="128"/>
    </row>
    <row r="39" spans="2:8" ht="15.6" x14ac:dyDescent="0.3">
      <c r="B39" s="132" t="s">
        <v>177</v>
      </c>
      <c r="C39" s="153">
        <f>SUM(C7:C38)</f>
        <v>1281.0999999999997</v>
      </c>
      <c r="D39" s="132"/>
      <c r="E39" s="141">
        <f>SUM(E7:E38)</f>
        <v>4900.0274999999992</v>
      </c>
      <c r="G39" s="157">
        <f>SUM(G7:G38)</f>
        <v>0.99633908360003143</v>
      </c>
      <c r="H39" s="136">
        <f>SUM(H7:H38)</f>
        <v>0.99999999999999989</v>
      </c>
    </row>
    <row r="44" spans="2:8" x14ac:dyDescent="0.3">
      <c r="B44" t="s">
        <v>184</v>
      </c>
      <c r="C44">
        <f>Restaurant!C14+'Farm Store'!C17</f>
        <v>1281.0999999999999</v>
      </c>
    </row>
    <row r="45" spans="2:8" x14ac:dyDescent="0.3">
      <c r="B45" t="s">
        <v>184</v>
      </c>
      <c r="C45" s="154">
        <f>Restaurant!E14+'Farm Store'!E17</f>
        <v>4900.0275000000001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3"/>
  <sheetViews>
    <sheetView workbookViewId="0">
      <selection activeCell="A16" sqref="A16:XFD16"/>
    </sheetView>
  </sheetViews>
  <sheetFormatPr defaultColWidth="8.88671875" defaultRowHeight="14.4" x14ac:dyDescent="0.3"/>
  <cols>
    <col min="1" max="1" width="5.44140625" style="47" customWidth="1"/>
    <col min="2" max="2" width="31" style="47" customWidth="1"/>
    <col min="3" max="3" width="10.88671875" style="47" customWidth="1"/>
    <col min="4" max="4" width="13.5546875" style="47" customWidth="1"/>
    <col min="5" max="5" width="9.109375" style="47" bestFit="1" customWidth="1"/>
    <col min="6" max="6" width="8.88671875" style="47"/>
    <col min="7" max="7" width="11.109375" style="47" customWidth="1"/>
    <col min="8" max="8" width="9.109375" style="47" bestFit="1" customWidth="1"/>
    <col min="9" max="16384" width="8.88671875" style="47"/>
  </cols>
  <sheetData>
    <row r="2" spans="2:8" x14ac:dyDescent="0.3">
      <c r="B2" s="52" t="s">
        <v>139</v>
      </c>
      <c r="C2" s="130" t="s">
        <v>135</v>
      </c>
      <c r="D2" s="131"/>
      <c r="H2" s="49"/>
    </row>
    <row r="3" spans="2:8" ht="28.8" x14ac:dyDescent="0.3">
      <c r="B3" s="48" t="s">
        <v>167</v>
      </c>
      <c r="C3" s="50" t="s">
        <v>87</v>
      </c>
      <c r="D3" s="51" t="s">
        <v>92</v>
      </c>
      <c r="E3" s="52" t="s">
        <v>137</v>
      </c>
    </row>
    <row r="4" spans="2:8" ht="15.6" x14ac:dyDescent="0.3">
      <c r="B4" s="29" t="s">
        <v>154</v>
      </c>
      <c r="C4" s="47">
        <f>28+25+56+106+25</f>
        <v>240</v>
      </c>
      <c r="D4" s="53">
        <v>3</v>
      </c>
      <c r="E4" s="53">
        <f t="shared" ref="E4:E13" si="0">C4*D4</f>
        <v>720</v>
      </c>
    </row>
    <row r="5" spans="2:8" ht="15.6" x14ac:dyDescent="0.3">
      <c r="B5" s="29" t="s">
        <v>155</v>
      </c>
      <c r="C5" s="124">
        <f>25</f>
        <v>25</v>
      </c>
      <c r="D5" s="53">
        <v>2.5</v>
      </c>
      <c r="E5" s="53">
        <f t="shared" si="0"/>
        <v>62.5</v>
      </c>
    </row>
    <row r="6" spans="2:8" ht="15.6" x14ac:dyDescent="0.3">
      <c r="B6" s="29" t="s">
        <v>156</v>
      </c>
      <c r="C6" s="124">
        <f>6.04+5.38+5.35+6.94+5.23+5.37</f>
        <v>34.31</v>
      </c>
      <c r="D6" s="53">
        <v>3</v>
      </c>
      <c r="E6" s="53">
        <f t="shared" si="0"/>
        <v>102.93</v>
      </c>
    </row>
    <row r="7" spans="2:8" ht="15.6" x14ac:dyDescent="0.3">
      <c r="B7" s="29" t="s">
        <v>157</v>
      </c>
      <c r="C7" s="124">
        <f>5.75+5.52+1.19</f>
        <v>12.459999999999999</v>
      </c>
      <c r="D7" s="53">
        <v>3</v>
      </c>
      <c r="E7" s="53">
        <f t="shared" si="0"/>
        <v>37.379999999999995</v>
      </c>
    </row>
    <row r="8" spans="2:8" ht="15.6" x14ac:dyDescent="0.3">
      <c r="B8" s="29" t="s">
        <v>158</v>
      </c>
      <c r="C8" s="124">
        <f>5.64+6+5.43+2.43+5.14+5.72+5.22</f>
        <v>35.58</v>
      </c>
      <c r="D8" s="53">
        <v>3</v>
      </c>
      <c r="E8" s="53">
        <f t="shared" si="0"/>
        <v>106.74</v>
      </c>
    </row>
    <row r="9" spans="2:8" ht="15.6" x14ac:dyDescent="0.3">
      <c r="B9" s="95" t="s">
        <v>159</v>
      </c>
      <c r="C9" s="124">
        <f>3.68</f>
        <v>3.68</v>
      </c>
      <c r="D9" s="53">
        <v>6.25</v>
      </c>
      <c r="E9" s="53">
        <f t="shared" si="0"/>
        <v>23</v>
      </c>
    </row>
    <row r="10" spans="2:8" ht="15.6" x14ac:dyDescent="0.3">
      <c r="B10" s="95" t="s">
        <v>160</v>
      </c>
      <c r="C10" s="125">
        <f>4.36</f>
        <v>4.3600000000000003</v>
      </c>
      <c r="D10" s="53">
        <v>6.25</v>
      </c>
      <c r="E10" s="53">
        <f t="shared" si="0"/>
        <v>27.250000000000004</v>
      </c>
    </row>
    <row r="11" spans="2:8" ht="15.6" x14ac:dyDescent="0.3">
      <c r="B11" s="95" t="s">
        <v>161</v>
      </c>
      <c r="C11" s="125">
        <f>5.18+5.09</f>
        <v>10.27</v>
      </c>
      <c r="D11" s="53">
        <v>12</v>
      </c>
      <c r="E11" s="53">
        <f t="shared" si="0"/>
        <v>123.24</v>
      </c>
    </row>
    <row r="12" spans="2:8" ht="15.6" x14ac:dyDescent="0.3">
      <c r="B12" s="95" t="s">
        <v>162</v>
      </c>
      <c r="C12" s="129">
        <f>3.04</f>
        <v>3.04</v>
      </c>
      <c r="D12" s="53">
        <v>6.25</v>
      </c>
      <c r="E12" s="53">
        <f t="shared" si="0"/>
        <v>19</v>
      </c>
    </row>
    <row r="13" spans="2:8" ht="15.6" x14ac:dyDescent="0.3">
      <c r="B13" s="95" t="s">
        <v>163</v>
      </c>
      <c r="C13" s="129">
        <f>8.43+10.14</f>
        <v>18.57</v>
      </c>
      <c r="D13" s="53">
        <v>9</v>
      </c>
      <c r="E13" s="53">
        <f t="shared" si="0"/>
        <v>167.13</v>
      </c>
    </row>
    <row r="14" spans="2:8" ht="15.6" x14ac:dyDescent="0.3">
      <c r="B14" s="95" t="s">
        <v>164</v>
      </c>
      <c r="C14" s="129">
        <f>6.53</f>
        <v>6.53</v>
      </c>
      <c r="D14" s="53">
        <v>6.25</v>
      </c>
      <c r="E14" s="53">
        <v>40.840000000000003</v>
      </c>
    </row>
    <row r="15" spans="2:8" ht="15.6" x14ac:dyDescent="0.3">
      <c r="B15" s="29" t="s">
        <v>165</v>
      </c>
      <c r="C15" s="126">
        <f>11.98+6.94+6.29+9.69+7.93</f>
        <v>42.83</v>
      </c>
      <c r="D15" s="53">
        <v>4.25</v>
      </c>
      <c r="E15" s="53">
        <f>C15*D15</f>
        <v>182.0275</v>
      </c>
      <c r="H15" s="53"/>
    </row>
    <row r="16" spans="2:8" ht="15.6" x14ac:dyDescent="0.3">
      <c r="B16" s="29" t="s">
        <v>166</v>
      </c>
      <c r="C16" s="126">
        <f>1.05+0.79+0.87+1+0.66+0.96+1.25+0.93+1.24+0.94+0.9</f>
        <v>10.59</v>
      </c>
      <c r="D16" s="53">
        <v>6</v>
      </c>
      <c r="E16" s="53">
        <f>C16*D16</f>
        <v>63.54</v>
      </c>
      <c r="H16" s="53"/>
    </row>
    <row r="17" spans="2:8" x14ac:dyDescent="0.3">
      <c r="C17" s="127">
        <f>SUM(C4:C16)</f>
        <v>447.21999999999991</v>
      </c>
      <c r="D17" s="54">
        <f>E17/C17</f>
        <v>3.7466515361567017</v>
      </c>
      <c r="E17" s="54">
        <f>SUM(E4:E16)</f>
        <v>1675.5774999999999</v>
      </c>
      <c r="H17" s="53"/>
    </row>
    <row r="18" spans="2:8" x14ac:dyDescent="0.3">
      <c r="D18" s="53" t="s">
        <v>85</v>
      </c>
      <c r="H18" s="53"/>
    </row>
    <row r="19" spans="2:8" x14ac:dyDescent="0.3">
      <c r="C19" s="55"/>
      <c r="H19" s="53"/>
    </row>
    <row r="20" spans="2:8" x14ac:dyDescent="0.3">
      <c r="B20" s="47" t="s">
        <v>136</v>
      </c>
      <c r="H20" s="53"/>
    </row>
    <row r="21" spans="2:8" x14ac:dyDescent="0.3">
      <c r="H21" s="53"/>
    </row>
    <row r="22" spans="2:8" x14ac:dyDescent="0.3">
      <c r="B22" s="47" t="s">
        <v>107</v>
      </c>
      <c r="C22" s="47" t="s">
        <v>52</v>
      </c>
      <c r="G22" s="52"/>
    </row>
    <row r="23" spans="2:8" x14ac:dyDescent="0.3">
      <c r="B23" s="47">
        <v>384145</v>
      </c>
      <c r="C23" s="53">
        <v>192.81</v>
      </c>
      <c r="H23" s="53"/>
    </row>
    <row r="24" spans="2:8" x14ac:dyDescent="0.3">
      <c r="B24" s="47">
        <v>384150</v>
      </c>
      <c r="C24" s="53">
        <v>185.12</v>
      </c>
      <c r="H24" s="53"/>
    </row>
    <row r="25" spans="2:8" x14ac:dyDescent="0.3">
      <c r="B25" s="47">
        <v>581551</v>
      </c>
      <c r="C25" s="53">
        <v>273.55</v>
      </c>
      <c r="H25" s="53"/>
    </row>
    <row r="26" spans="2:8" x14ac:dyDescent="0.3">
      <c r="B26" s="47">
        <v>581555</v>
      </c>
      <c r="C26" s="53">
        <v>353.91</v>
      </c>
      <c r="H26" s="53"/>
    </row>
    <row r="27" spans="2:8" x14ac:dyDescent="0.3">
      <c r="B27" s="47">
        <v>581558</v>
      </c>
      <c r="C27" s="53">
        <v>479.34</v>
      </c>
      <c r="H27" s="53"/>
    </row>
    <row r="28" spans="2:8" x14ac:dyDescent="0.3">
      <c r="B28" s="47">
        <v>581559</v>
      </c>
      <c r="C28" s="53">
        <v>190.9</v>
      </c>
      <c r="H28" s="53"/>
    </row>
    <row r="29" spans="2:8" x14ac:dyDescent="0.3">
      <c r="B29" s="47">
        <v>6</v>
      </c>
      <c r="C29" s="54">
        <f>SUM(C23:C28)</f>
        <v>1675.63</v>
      </c>
      <c r="H29" s="53"/>
    </row>
    <row r="30" spans="2:8" x14ac:dyDescent="0.3">
      <c r="C30" s="53"/>
      <c r="H30" s="53"/>
    </row>
    <row r="31" spans="2:8" x14ac:dyDescent="0.3">
      <c r="C31" s="53"/>
      <c r="H31" s="53"/>
    </row>
    <row r="32" spans="2:8" x14ac:dyDescent="0.3">
      <c r="H32" s="53"/>
    </row>
    <row r="33" spans="8:8" x14ac:dyDescent="0.3">
      <c r="H33" s="53"/>
    </row>
  </sheetData>
  <pageMargins left="0.7" right="0.7" top="0.75" bottom="0.75" header="0.3" footer="0.3"/>
  <pageSetup orientation="portrait" r:id="rId1"/>
  <ignoredErrors>
    <ignoredError sqref="D17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20"/>
  <sheetViews>
    <sheetView zoomScale="90" zoomScaleNormal="90" workbookViewId="0">
      <selection activeCell="C11" sqref="C11"/>
    </sheetView>
  </sheetViews>
  <sheetFormatPr defaultColWidth="9.109375" defaultRowHeight="15" x14ac:dyDescent="0.25"/>
  <cols>
    <col min="1" max="1" width="3.5546875" style="58" customWidth="1"/>
    <col min="2" max="2" width="18.44140625" style="58" customWidth="1"/>
    <col min="3" max="3" width="11.109375" style="58" customWidth="1"/>
    <col min="4" max="4" width="9.44140625" style="58" customWidth="1"/>
    <col min="5" max="5" width="15.6640625" style="58" customWidth="1"/>
    <col min="6" max="6" width="13.33203125" style="58" customWidth="1"/>
    <col min="7" max="8" width="11.6640625" style="58" customWidth="1"/>
    <col min="9" max="9" width="11" style="58" customWidth="1"/>
    <col min="10" max="11" width="14" style="58" customWidth="1"/>
    <col min="12" max="12" width="13.109375" style="58" customWidth="1"/>
    <col min="13" max="13" width="18.6640625" style="58" customWidth="1"/>
    <col min="14" max="14" width="16.33203125" style="58" customWidth="1"/>
    <col min="15" max="16384" width="9.109375" style="58"/>
  </cols>
  <sheetData>
    <row r="3" spans="2:13" ht="46.2" customHeight="1" x14ac:dyDescent="0.3">
      <c r="B3" s="56" t="s">
        <v>93</v>
      </c>
      <c r="C3" s="158" t="s">
        <v>94</v>
      </c>
      <c r="D3" s="159"/>
      <c r="E3" s="57" t="s">
        <v>131</v>
      </c>
      <c r="F3" s="57" t="s">
        <v>132</v>
      </c>
      <c r="G3" s="57" t="s">
        <v>134</v>
      </c>
      <c r="H3" s="57" t="s">
        <v>140</v>
      </c>
      <c r="I3" s="57" t="s">
        <v>95</v>
      </c>
      <c r="J3" s="57" t="s">
        <v>96</v>
      </c>
      <c r="K3" s="57" t="s">
        <v>142</v>
      </c>
      <c r="L3" s="57" t="s">
        <v>97</v>
      </c>
    </row>
    <row r="4" spans="2:13" ht="31.95" customHeight="1" x14ac:dyDescent="0.3">
      <c r="B4" s="62" t="s">
        <v>130</v>
      </c>
      <c r="C4" s="63" t="s">
        <v>90</v>
      </c>
      <c r="D4" s="64">
        <f>0.62*D6</f>
        <v>380.68</v>
      </c>
      <c r="E4" s="117">
        <f>'Time Allocation (2)'!I14</f>
        <v>473</v>
      </c>
      <c r="F4" s="74">
        <f>0.555*'Time Allocation (2)'!J14</f>
        <v>113.44200000000001</v>
      </c>
      <c r="G4" s="74">
        <f>Restaurant!D14</f>
        <v>3.8668033769846986</v>
      </c>
      <c r="H4" s="74">
        <f>D4*G4</f>
        <v>1472.0147095505351</v>
      </c>
      <c r="I4" s="60">
        <f>F4+H14</f>
        <v>549.3420000000001</v>
      </c>
      <c r="J4" s="120">
        <f>(D4*G4)-I4</f>
        <v>922.67270955053505</v>
      </c>
      <c r="K4" s="120">
        <f>J4/E4</f>
        <v>1.9506822612062051</v>
      </c>
      <c r="L4" s="61" t="s">
        <v>108</v>
      </c>
    </row>
    <row r="5" spans="2:13" ht="31.95" customHeight="1" x14ac:dyDescent="0.3">
      <c r="B5" s="62" t="s">
        <v>129</v>
      </c>
      <c r="C5" s="113" t="s">
        <v>90</v>
      </c>
      <c r="D5" s="64">
        <f>0.62*D6</f>
        <v>380.68</v>
      </c>
      <c r="E5" s="118">
        <f>'Time Allocation (2)'!I18</f>
        <v>198</v>
      </c>
      <c r="F5" s="74">
        <f>0.555*'Time Allocation (2)'!J18</f>
        <v>24.142500000000002</v>
      </c>
      <c r="G5" s="121">
        <f>'Farm Store'!D17</f>
        <v>3.7466515361567017</v>
      </c>
      <c r="H5" s="74">
        <f t="shared" ref="H5:H6" si="0">D5*G5</f>
        <v>1426.2753067841331</v>
      </c>
      <c r="I5" s="60">
        <f>F5+H15</f>
        <v>460.04250000000002</v>
      </c>
      <c r="J5" s="120">
        <f t="shared" ref="J5:J6" si="1">(D5*G5)-I5</f>
        <v>966.23280678413312</v>
      </c>
      <c r="K5" s="120">
        <f t="shared" ref="K5:K6" si="2">J5/E5</f>
        <v>4.8799636706269354</v>
      </c>
      <c r="L5" s="61" t="s">
        <v>108</v>
      </c>
    </row>
    <row r="6" spans="2:13" ht="31.95" customHeight="1" x14ac:dyDescent="0.3">
      <c r="B6" s="65" t="s">
        <v>99</v>
      </c>
      <c r="C6" s="66" t="s">
        <v>86</v>
      </c>
      <c r="D6" s="114">
        <v>614</v>
      </c>
      <c r="E6" s="119">
        <f>240</f>
        <v>240</v>
      </c>
      <c r="F6" s="74">
        <v>0</v>
      </c>
      <c r="G6" s="74">
        <v>3</v>
      </c>
      <c r="H6" s="74">
        <f t="shared" si="0"/>
        <v>1842</v>
      </c>
      <c r="I6" s="67">
        <f>F6+H16</f>
        <v>435.90000000000003</v>
      </c>
      <c r="J6" s="120">
        <f t="shared" si="1"/>
        <v>1406.1</v>
      </c>
      <c r="K6" s="120">
        <f t="shared" si="2"/>
        <v>5.8587499999999997</v>
      </c>
      <c r="L6" s="61" t="s">
        <v>98</v>
      </c>
    </row>
    <row r="7" spans="2:13" ht="22.5" customHeight="1" x14ac:dyDescent="0.25"/>
    <row r="8" spans="2:13" ht="22.5" customHeight="1" x14ac:dyDescent="0.25">
      <c r="C8" s="58" t="s">
        <v>141</v>
      </c>
    </row>
    <row r="9" spans="2:13" ht="22.5" customHeight="1" x14ac:dyDescent="0.25">
      <c r="C9" s="58" t="s">
        <v>185</v>
      </c>
    </row>
    <row r="10" spans="2:13" ht="22.5" customHeight="1" x14ac:dyDescent="0.25">
      <c r="C10" s="58" t="s">
        <v>186</v>
      </c>
    </row>
    <row r="11" spans="2:13" ht="22.5" customHeight="1" x14ac:dyDescent="0.25"/>
    <row r="12" spans="2:13" ht="21.75" customHeight="1" x14ac:dyDescent="0.3">
      <c r="B12" s="160" t="s">
        <v>133</v>
      </c>
      <c r="C12" s="161"/>
      <c r="D12" s="161"/>
      <c r="E12" s="161"/>
      <c r="F12" s="161"/>
      <c r="G12" s="161"/>
      <c r="H12" s="161"/>
      <c r="I12" s="162"/>
      <c r="L12" s="85"/>
      <c r="M12" s="85"/>
    </row>
    <row r="13" spans="2:13" ht="33.75" customHeight="1" x14ac:dyDescent="0.3">
      <c r="B13" s="68"/>
      <c r="C13" s="69" t="s">
        <v>88</v>
      </c>
      <c r="D13" s="69" t="s">
        <v>89</v>
      </c>
      <c r="E13" s="70" t="s">
        <v>100</v>
      </c>
      <c r="F13" s="70" t="s">
        <v>101</v>
      </c>
      <c r="G13" s="70" t="s">
        <v>102</v>
      </c>
      <c r="H13" s="71" t="s">
        <v>52</v>
      </c>
      <c r="J13" s="82"/>
      <c r="K13" s="82"/>
      <c r="L13" s="83"/>
    </row>
    <row r="14" spans="2:13" ht="27" customHeight="1" x14ac:dyDescent="0.3">
      <c r="B14" s="76" t="str">
        <f>B4</f>
        <v>Restaurant</v>
      </c>
      <c r="C14" s="81">
        <f>0.555*40</f>
        <v>22.200000000000003</v>
      </c>
      <c r="D14" s="72">
        <v>75</v>
      </c>
      <c r="E14" s="73">
        <v>0.55000000000000004</v>
      </c>
      <c r="F14" s="74">
        <f>(E14*D6)+D14</f>
        <v>412.70000000000005</v>
      </c>
      <c r="G14" s="67">
        <v>1</v>
      </c>
      <c r="H14" s="75">
        <f t="shared" ref="H14:H16" si="3">G14+F14+C14</f>
        <v>435.90000000000003</v>
      </c>
      <c r="J14" s="82"/>
      <c r="K14" s="82"/>
      <c r="L14" s="83"/>
    </row>
    <row r="15" spans="2:13" ht="27" customHeight="1" x14ac:dyDescent="0.3">
      <c r="B15" s="77" t="s">
        <v>129</v>
      </c>
      <c r="C15" s="81">
        <f t="shared" ref="C15:C16" si="4">0.555*40</f>
        <v>22.200000000000003</v>
      </c>
      <c r="D15" s="115">
        <v>75</v>
      </c>
      <c r="E15" s="116">
        <v>0.55000000000000004</v>
      </c>
      <c r="F15" s="74">
        <f>(E15*D6)+D15</f>
        <v>412.70000000000005</v>
      </c>
      <c r="G15" s="80">
        <v>1</v>
      </c>
      <c r="H15" s="75">
        <f t="shared" si="3"/>
        <v>435.90000000000003</v>
      </c>
      <c r="J15" s="82"/>
      <c r="K15" s="82"/>
      <c r="L15" s="83"/>
    </row>
    <row r="16" spans="2:13" ht="27" customHeight="1" x14ac:dyDescent="0.3">
      <c r="B16" s="77" t="s">
        <v>99</v>
      </c>
      <c r="C16" s="81">
        <f t="shared" si="4"/>
        <v>22.200000000000003</v>
      </c>
      <c r="D16" s="78">
        <v>75</v>
      </c>
      <c r="E16" s="79">
        <v>0.55000000000000004</v>
      </c>
      <c r="F16" s="74">
        <f>(E16*D6)+D16</f>
        <v>412.70000000000005</v>
      </c>
      <c r="G16" s="80">
        <v>1</v>
      </c>
      <c r="H16" s="75">
        <f t="shared" si="3"/>
        <v>435.90000000000003</v>
      </c>
      <c r="J16" s="82"/>
      <c r="K16" s="82"/>
      <c r="L16" s="83"/>
    </row>
    <row r="17" spans="2:13" ht="27" customHeight="1" x14ac:dyDescent="0.25">
      <c r="L17" s="84"/>
      <c r="M17" s="83"/>
    </row>
    <row r="18" spans="2:13" ht="27" customHeight="1" x14ac:dyDescent="0.3">
      <c r="B18" s="59" t="s">
        <v>103</v>
      </c>
    </row>
    <row r="19" spans="2:13" ht="27" customHeight="1" x14ac:dyDescent="0.25">
      <c r="B19" s="58" t="s">
        <v>104</v>
      </c>
    </row>
    <row r="20" spans="2:13" x14ac:dyDescent="0.25">
      <c r="B20" s="58" t="s">
        <v>105</v>
      </c>
    </row>
  </sheetData>
  <sheetProtection selectLockedCells="1"/>
  <mergeCells count="2">
    <mergeCell ref="C3:D3"/>
    <mergeCell ref="B12:I12"/>
  </mergeCells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2"/>
  <sheetViews>
    <sheetView workbookViewId="0">
      <selection activeCell="F24" sqref="F24"/>
    </sheetView>
  </sheetViews>
  <sheetFormatPr defaultRowHeight="14.4" x14ac:dyDescent="0.3"/>
  <cols>
    <col min="1" max="1" width="18.33203125" customWidth="1"/>
    <col min="2" max="2" width="11" customWidth="1"/>
    <col min="3" max="3" width="10.5546875" customWidth="1"/>
    <col min="4" max="4" width="11.5546875" customWidth="1"/>
    <col min="5" max="5" width="12.44140625" customWidth="1"/>
    <col min="6" max="9" width="14.33203125" customWidth="1"/>
  </cols>
  <sheetData>
    <row r="3" spans="1:10" ht="39.6" customHeight="1" x14ac:dyDescent="0.3">
      <c r="B3" s="104" t="s">
        <v>119</v>
      </c>
      <c r="C3" s="104" t="s">
        <v>120</v>
      </c>
      <c r="D3" s="104" t="s">
        <v>121</v>
      </c>
      <c r="E3" s="104" t="s">
        <v>122</v>
      </c>
      <c r="F3" s="104" t="s">
        <v>123</v>
      </c>
      <c r="G3" s="104" t="s">
        <v>124</v>
      </c>
      <c r="H3" s="104" t="s">
        <v>125</v>
      </c>
      <c r="I3" s="104"/>
      <c r="J3" s="104"/>
    </row>
    <row r="4" spans="1:10" ht="21" customHeight="1" x14ac:dyDescent="0.3">
      <c r="A4" t="s">
        <v>126</v>
      </c>
      <c r="B4" s="100">
        <f>'Time Allocation (2)'!L14</f>
        <v>1013.53</v>
      </c>
      <c r="C4" s="25">
        <f>'Time Allocation (2)'!I14</f>
        <v>473</v>
      </c>
      <c r="D4" s="25"/>
      <c r="E4" s="25"/>
      <c r="F4" s="25"/>
      <c r="G4" s="25"/>
      <c r="H4" s="25"/>
    </row>
    <row r="5" spans="1:10" ht="21" customHeight="1" x14ac:dyDescent="0.3">
      <c r="A5" t="s">
        <v>127</v>
      </c>
      <c r="B5" s="100">
        <f>'Time Allocation (2)'!L18</f>
        <v>651.48</v>
      </c>
      <c r="C5" s="25">
        <f>'Time Allocation (2)'!I18</f>
        <v>198</v>
      </c>
      <c r="D5" s="25"/>
      <c r="E5" s="25"/>
      <c r="F5" s="25"/>
      <c r="G5" s="25"/>
      <c r="H5" s="25"/>
    </row>
    <row r="6" spans="1:10" ht="21" customHeight="1" x14ac:dyDescent="0.3">
      <c r="A6" t="s">
        <v>128</v>
      </c>
      <c r="B6" s="25"/>
      <c r="C6" s="25"/>
      <c r="D6" s="25"/>
      <c r="E6" s="25"/>
      <c r="F6" s="25"/>
      <c r="G6" s="25"/>
      <c r="H6" s="25"/>
    </row>
    <row r="7" spans="1:10" ht="21" customHeight="1" x14ac:dyDescent="0.3">
      <c r="B7" s="25"/>
      <c r="C7" s="25"/>
      <c r="D7" s="25"/>
      <c r="E7" s="25"/>
      <c r="F7" s="25"/>
      <c r="G7" s="25"/>
      <c r="H7" s="25"/>
    </row>
    <row r="8" spans="1:10" x14ac:dyDescent="0.3">
      <c r="B8" s="25"/>
      <c r="C8" s="25"/>
      <c r="D8" s="25"/>
      <c r="E8" s="25"/>
      <c r="F8" s="25"/>
      <c r="G8" s="25"/>
      <c r="H8" s="25"/>
    </row>
    <row r="9" spans="1:10" x14ac:dyDescent="0.3">
      <c r="B9" s="25"/>
      <c r="C9" s="25"/>
      <c r="D9" s="25"/>
      <c r="E9" s="25"/>
      <c r="F9" s="25"/>
      <c r="G9" s="25"/>
      <c r="H9" s="25"/>
    </row>
    <row r="10" spans="1:10" x14ac:dyDescent="0.3">
      <c r="B10" s="25"/>
      <c r="C10" s="25"/>
      <c r="D10" s="25"/>
      <c r="E10" s="25"/>
      <c r="F10" s="25"/>
      <c r="G10" s="25"/>
      <c r="H10" s="25"/>
    </row>
    <row r="11" spans="1:10" x14ac:dyDescent="0.3">
      <c r="B11" s="25"/>
      <c r="C11" s="25"/>
      <c r="D11" s="25"/>
      <c r="E11" s="25"/>
      <c r="F11" s="25"/>
      <c r="G11" s="25"/>
      <c r="H11" s="25"/>
    </row>
    <row r="12" spans="1:10" x14ac:dyDescent="0.3">
      <c r="B12" s="25"/>
      <c r="C12" s="25"/>
      <c r="D12" s="25"/>
      <c r="E12" s="25"/>
      <c r="F12" s="25"/>
      <c r="G12" s="25"/>
      <c r="H12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Time Allocation</vt:lpstr>
      <vt:lpstr>Time Allocation (2)</vt:lpstr>
      <vt:lpstr>3 head</vt:lpstr>
      <vt:lpstr>1 steer</vt:lpstr>
      <vt:lpstr>Restaurant</vt:lpstr>
      <vt:lpstr>RestFS combi</vt:lpstr>
      <vt:lpstr>Farm Store</vt:lpstr>
      <vt:lpstr>Price &amp; time</vt:lpstr>
      <vt:lpstr>LMCAT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CCE</dc:creator>
  <cp:lastModifiedBy>Matt L</cp:lastModifiedBy>
  <dcterms:created xsi:type="dcterms:W3CDTF">2011-11-18T16:49:08Z</dcterms:created>
  <dcterms:modified xsi:type="dcterms:W3CDTF">2011-12-23T18:19:06Z</dcterms:modified>
</cp:coreProperties>
</file>