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05" windowWidth="20115" windowHeight="723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25725"/>
</workbook>
</file>

<file path=xl/calcChain.xml><?xml version="1.0" encoding="utf-8"?>
<calcChain xmlns="http://schemas.openxmlformats.org/spreadsheetml/2006/main">
  <c r="Q64" i="1"/>
  <c r="R64" s="1"/>
  <c r="H64"/>
  <c r="G64"/>
  <c r="I64" s="1"/>
  <c r="E64"/>
  <c r="D64"/>
  <c r="K62"/>
  <c r="Q61"/>
  <c r="I61"/>
  <c r="H61"/>
  <c r="G61"/>
  <c r="D61"/>
  <c r="E61" s="1"/>
  <c r="Q60"/>
  <c r="H60"/>
  <c r="G60"/>
  <c r="I60" s="1"/>
  <c r="D60"/>
  <c r="E60" s="1"/>
  <c r="Q59"/>
  <c r="I59"/>
  <c r="H59"/>
  <c r="H62" s="1"/>
  <c r="G59"/>
  <c r="G62" s="1"/>
  <c r="D59"/>
  <c r="E59" s="1"/>
  <c r="K57"/>
  <c r="Q56"/>
  <c r="I56"/>
  <c r="H56"/>
  <c r="G56"/>
  <c r="D56"/>
  <c r="E56" s="1"/>
  <c r="Q55"/>
  <c r="H55"/>
  <c r="H57" s="1"/>
  <c r="G55"/>
  <c r="I55" s="1"/>
  <c r="D55"/>
  <c r="E55" s="1"/>
  <c r="Q54"/>
  <c r="I54"/>
  <c r="I57" s="1"/>
  <c r="H54"/>
  <c r="G54"/>
  <c r="G57" s="1"/>
  <c r="D54"/>
  <c r="E54" s="1"/>
  <c r="K51"/>
  <c r="Q50"/>
  <c r="I50"/>
  <c r="H50"/>
  <c r="G50"/>
  <c r="D50"/>
  <c r="E50" s="1"/>
  <c r="Q49"/>
  <c r="R49" s="1"/>
  <c r="H49"/>
  <c r="H51" s="1"/>
  <c r="G49"/>
  <c r="I49" s="1"/>
  <c r="D49"/>
  <c r="E49" s="1"/>
  <c r="Q48"/>
  <c r="I48"/>
  <c r="I51" s="1"/>
  <c r="H48"/>
  <c r="G48"/>
  <c r="G51" s="1"/>
  <c r="D48"/>
  <c r="E48" s="1"/>
  <c r="Q44"/>
  <c r="R44" s="1"/>
  <c r="H44"/>
  <c r="I44" s="1"/>
  <c r="G44"/>
  <c r="E44"/>
  <c r="D44"/>
  <c r="K42"/>
  <c r="Q41"/>
  <c r="H41"/>
  <c r="G41"/>
  <c r="I41" s="1"/>
  <c r="E41"/>
  <c r="M41" s="1"/>
  <c r="D41"/>
  <c r="Q40"/>
  <c r="H40"/>
  <c r="I40" s="1"/>
  <c r="G40"/>
  <c r="E40"/>
  <c r="R40" s="1"/>
  <c r="D40"/>
  <c r="Q39"/>
  <c r="Q42" s="1"/>
  <c r="H39"/>
  <c r="H42" s="1"/>
  <c r="G39"/>
  <c r="G42" s="1"/>
  <c r="E39"/>
  <c r="E42" s="1"/>
  <c r="D39"/>
  <c r="K37"/>
  <c r="Q36"/>
  <c r="M36"/>
  <c r="H36"/>
  <c r="G36"/>
  <c r="I36" s="1"/>
  <c r="E36"/>
  <c r="R36" s="1"/>
  <c r="D36"/>
  <c r="Q35"/>
  <c r="I35"/>
  <c r="H35"/>
  <c r="G35"/>
  <c r="D35"/>
  <c r="E35" s="1"/>
  <c r="Q34"/>
  <c r="Q37" s="1"/>
  <c r="M34"/>
  <c r="H34"/>
  <c r="H37" s="1"/>
  <c r="G34"/>
  <c r="G37" s="1"/>
  <c r="E34"/>
  <c r="D34"/>
  <c r="K31"/>
  <c r="Q30"/>
  <c r="M30"/>
  <c r="H30"/>
  <c r="G30"/>
  <c r="I30" s="1"/>
  <c r="E30"/>
  <c r="R30" s="1"/>
  <c r="D30"/>
  <c r="Q29"/>
  <c r="I29"/>
  <c r="H29"/>
  <c r="G29"/>
  <c r="D29"/>
  <c r="E29" s="1"/>
  <c r="Q28"/>
  <c r="Q31" s="1"/>
  <c r="M28"/>
  <c r="H28"/>
  <c r="H31" s="1"/>
  <c r="G28"/>
  <c r="G31" s="1"/>
  <c r="E28"/>
  <c r="E31" s="1"/>
  <c r="D28"/>
  <c r="Q24"/>
  <c r="R24" s="1"/>
  <c r="H24"/>
  <c r="G24"/>
  <c r="I24" s="1"/>
  <c r="E24"/>
  <c r="D24"/>
  <c r="K22"/>
  <c r="Q21"/>
  <c r="M21"/>
  <c r="H21"/>
  <c r="G21"/>
  <c r="I21" s="1"/>
  <c r="E21"/>
  <c r="R21" s="1"/>
  <c r="D21"/>
  <c r="Q20"/>
  <c r="I20"/>
  <c r="H20"/>
  <c r="G20"/>
  <c r="D20"/>
  <c r="E20" s="1"/>
  <c r="Q19"/>
  <c r="Q22" s="1"/>
  <c r="M19"/>
  <c r="H19"/>
  <c r="H22" s="1"/>
  <c r="G19"/>
  <c r="G22" s="1"/>
  <c r="E19"/>
  <c r="R19" s="1"/>
  <c r="D19"/>
  <c r="K17"/>
  <c r="Q16"/>
  <c r="M16"/>
  <c r="H16"/>
  <c r="G16"/>
  <c r="I16" s="1"/>
  <c r="E16"/>
  <c r="R16" s="1"/>
  <c r="D16"/>
  <c r="Q15"/>
  <c r="Q17" s="1"/>
  <c r="I15"/>
  <c r="H15"/>
  <c r="G15"/>
  <c r="D15"/>
  <c r="E15" s="1"/>
  <c r="Q14"/>
  <c r="M14"/>
  <c r="H14"/>
  <c r="H17" s="1"/>
  <c r="G14"/>
  <c r="G17" s="1"/>
  <c r="E14"/>
  <c r="R14" s="1"/>
  <c r="D14"/>
  <c r="K11"/>
  <c r="Q10"/>
  <c r="M10"/>
  <c r="H10"/>
  <c r="G10"/>
  <c r="I10" s="1"/>
  <c r="E10"/>
  <c r="R10" s="1"/>
  <c r="D10"/>
  <c r="Q9"/>
  <c r="Q11" s="1"/>
  <c r="I9"/>
  <c r="H9"/>
  <c r="G9"/>
  <c r="D9"/>
  <c r="E9" s="1"/>
  <c r="Q8"/>
  <c r="H8"/>
  <c r="H11" s="1"/>
  <c r="G8"/>
  <c r="G11" s="1"/>
  <c r="D8"/>
  <c r="E8" s="1"/>
  <c r="L29" l="1"/>
  <c r="M29"/>
  <c r="T36"/>
  <c r="V36"/>
  <c r="V40"/>
  <c r="T40"/>
  <c r="L49"/>
  <c r="M49"/>
  <c r="L50"/>
  <c r="M50"/>
  <c r="T64"/>
  <c r="V64"/>
  <c r="R8"/>
  <c r="R29"/>
  <c r="R50"/>
  <c r="I62"/>
  <c r="V10"/>
  <c r="T10"/>
  <c r="E17"/>
  <c r="L15"/>
  <c r="M15"/>
  <c r="V21"/>
  <c r="T21"/>
  <c r="U24"/>
  <c r="S24"/>
  <c r="L48"/>
  <c r="L51" s="1"/>
  <c r="E51"/>
  <c r="M48"/>
  <c r="V49"/>
  <c r="T49"/>
  <c r="L55"/>
  <c r="M55"/>
  <c r="L56"/>
  <c r="M56"/>
  <c r="R48"/>
  <c r="R56"/>
  <c r="T30"/>
  <c r="V30"/>
  <c r="L35"/>
  <c r="M35"/>
  <c r="M37" s="1"/>
  <c r="V44"/>
  <c r="T44"/>
  <c r="L54"/>
  <c r="E57"/>
  <c r="M54"/>
  <c r="L60"/>
  <c r="M60"/>
  <c r="L61"/>
  <c r="M61"/>
  <c r="S64"/>
  <c r="U64"/>
  <c r="N10"/>
  <c r="S10" s="1"/>
  <c r="N21"/>
  <c r="S21" s="1"/>
  <c r="R35"/>
  <c r="R54"/>
  <c r="R55"/>
  <c r="R61"/>
  <c r="L8"/>
  <c r="E11"/>
  <c r="M8"/>
  <c r="L9"/>
  <c r="M9"/>
  <c r="V16"/>
  <c r="T16"/>
  <c r="E22"/>
  <c r="L20"/>
  <c r="M20"/>
  <c r="V24"/>
  <c r="T24"/>
  <c r="S44"/>
  <c r="U44"/>
  <c r="L59"/>
  <c r="E62"/>
  <c r="M59"/>
  <c r="R20"/>
  <c r="E37"/>
  <c r="R59"/>
  <c r="R60"/>
  <c r="I8"/>
  <c r="I11" s="1"/>
  <c r="U10"/>
  <c r="I14"/>
  <c r="I17" s="1"/>
  <c r="M17"/>
  <c r="I19"/>
  <c r="I22" s="1"/>
  <c r="U21"/>
  <c r="M22"/>
  <c r="L28"/>
  <c r="R28"/>
  <c r="L30"/>
  <c r="N30" s="1"/>
  <c r="S30" s="1"/>
  <c r="L34"/>
  <c r="L37" s="1"/>
  <c r="R34"/>
  <c r="L36"/>
  <c r="N36" s="1"/>
  <c r="S36" s="1"/>
  <c r="L39"/>
  <c r="L42" s="1"/>
  <c r="R39"/>
  <c r="L41"/>
  <c r="U41" s="1"/>
  <c r="R41"/>
  <c r="Q51"/>
  <c r="Q57"/>
  <c r="Q62"/>
  <c r="R9"/>
  <c r="R15"/>
  <c r="R17" s="1"/>
  <c r="I28"/>
  <c r="I31" s="1"/>
  <c r="M31"/>
  <c r="I34"/>
  <c r="I37" s="1"/>
  <c r="I39"/>
  <c r="I42" s="1"/>
  <c r="M40"/>
  <c r="L40"/>
  <c r="L10"/>
  <c r="L14"/>
  <c r="L17" s="1"/>
  <c r="L16"/>
  <c r="U16" s="1"/>
  <c r="L19"/>
  <c r="L22" s="1"/>
  <c r="L21"/>
  <c r="M39"/>
  <c r="N39" l="1"/>
  <c r="M42"/>
  <c r="U39"/>
  <c r="U42" s="1"/>
  <c r="T9"/>
  <c r="V9"/>
  <c r="T41"/>
  <c r="V41"/>
  <c r="R31"/>
  <c r="T28"/>
  <c r="V28"/>
  <c r="V60"/>
  <c r="T60"/>
  <c r="T20"/>
  <c r="V20"/>
  <c r="N9"/>
  <c r="S9" s="1"/>
  <c r="U9"/>
  <c r="V35"/>
  <c r="T35"/>
  <c r="N60"/>
  <c r="S60" s="1"/>
  <c r="U60"/>
  <c r="N55"/>
  <c r="S55" s="1"/>
  <c r="U55"/>
  <c r="N48"/>
  <c r="M51"/>
  <c r="U48"/>
  <c r="N50"/>
  <c r="S50" s="1"/>
  <c r="U50"/>
  <c r="U29"/>
  <c r="N29"/>
  <c r="S29" s="1"/>
  <c r="U34"/>
  <c r="U28"/>
  <c r="U31" s="1"/>
  <c r="U30"/>
  <c r="U19"/>
  <c r="U14"/>
  <c r="L62"/>
  <c r="N41"/>
  <c r="S41" s="1"/>
  <c r="L11"/>
  <c r="L57"/>
  <c r="U36"/>
  <c r="N16"/>
  <c r="S16" s="1"/>
  <c r="V19"/>
  <c r="V22" s="1"/>
  <c r="T15"/>
  <c r="V15"/>
  <c r="N20"/>
  <c r="S20" s="1"/>
  <c r="U20"/>
  <c r="R57"/>
  <c r="T54"/>
  <c r="T57" s="1"/>
  <c r="V54"/>
  <c r="U35"/>
  <c r="N35"/>
  <c r="S35" s="1"/>
  <c r="R51"/>
  <c r="T48"/>
  <c r="T51" s="1"/>
  <c r="V48"/>
  <c r="N15"/>
  <c r="S15" s="1"/>
  <c r="U15"/>
  <c r="V29"/>
  <c r="T29"/>
  <c r="T14"/>
  <c r="T17" s="1"/>
  <c r="R22"/>
  <c r="U40"/>
  <c r="N40"/>
  <c r="S40" s="1"/>
  <c r="R42"/>
  <c r="T39"/>
  <c r="T42" s="1"/>
  <c r="V39"/>
  <c r="N59"/>
  <c r="M62"/>
  <c r="U59"/>
  <c r="U62" s="1"/>
  <c r="N8"/>
  <c r="M11"/>
  <c r="U8"/>
  <c r="V55"/>
  <c r="T55"/>
  <c r="N61"/>
  <c r="S61" s="1"/>
  <c r="U61"/>
  <c r="N54"/>
  <c r="M57"/>
  <c r="U54"/>
  <c r="T56"/>
  <c r="V56"/>
  <c r="N56"/>
  <c r="S56" s="1"/>
  <c r="U56"/>
  <c r="N49"/>
  <c r="S49" s="1"/>
  <c r="U49"/>
  <c r="N34"/>
  <c r="T19"/>
  <c r="T22" s="1"/>
  <c r="R37"/>
  <c r="T34"/>
  <c r="T37" s="1"/>
  <c r="V34"/>
  <c r="V37" s="1"/>
  <c r="R62"/>
  <c r="T59"/>
  <c r="V59"/>
  <c r="V62" s="1"/>
  <c r="T61"/>
  <c r="V61"/>
  <c r="T50"/>
  <c r="V50"/>
  <c r="V8"/>
  <c r="V11" s="1"/>
  <c r="R11"/>
  <c r="T8"/>
  <c r="T11" s="1"/>
  <c r="L31"/>
  <c r="N14"/>
  <c r="N28"/>
  <c r="V14"/>
  <c r="N19"/>
  <c r="N22" l="1"/>
  <c r="S19"/>
  <c r="S22" s="1"/>
  <c r="N57"/>
  <c r="S54"/>
  <c r="S57" s="1"/>
  <c r="N51"/>
  <c r="S48"/>
  <c r="S51" s="1"/>
  <c r="S28"/>
  <c r="S31" s="1"/>
  <c r="N31"/>
  <c r="N62"/>
  <c r="S59"/>
  <c r="S62" s="1"/>
  <c r="S39"/>
  <c r="S42" s="1"/>
  <c r="N42"/>
  <c r="U57"/>
  <c r="V51"/>
  <c r="U22"/>
  <c r="U51"/>
  <c r="T31"/>
  <c r="V17"/>
  <c r="T62"/>
  <c r="U11"/>
  <c r="U17"/>
  <c r="U37"/>
  <c r="V31"/>
  <c r="N17"/>
  <c r="S14"/>
  <c r="S17" s="1"/>
  <c r="S34"/>
  <c r="S37" s="1"/>
  <c r="N37"/>
  <c r="N11"/>
  <c r="S8"/>
  <c r="S11" s="1"/>
  <c r="V42"/>
  <c r="V57"/>
</calcChain>
</file>

<file path=xl/comments1.xml><?xml version="1.0" encoding="utf-8"?>
<comments xmlns="http://schemas.openxmlformats.org/spreadsheetml/2006/main">
  <authors>
    <author>Sarah Carlson</author>
  </authors>
  <commentList>
    <comment ref="L3" authorId="0">
      <text>
        <r>
          <rPr>
            <b/>
            <sz val="9"/>
            <color indexed="81"/>
            <rFont val="Arial"/>
          </rPr>
          <t>Sarah Carlson:</t>
        </r>
        <r>
          <rPr>
            <sz val="9"/>
            <color indexed="81"/>
            <rFont val="Arial"/>
          </rPr>
          <t xml:space="preserve">
this is effective acre right?</t>
        </r>
      </text>
    </comment>
  </commentList>
</comments>
</file>

<file path=xl/sharedStrings.xml><?xml version="1.0" encoding="utf-8"?>
<sst xmlns="http://schemas.openxmlformats.org/spreadsheetml/2006/main" count="67" uniqueCount="41">
  <si>
    <t>Crop Information</t>
  </si>
  <si>
    <t>Crop Production Energy</t>
  </si>
  <si>
    <t>Crop Processing &amp; Biofuel Energy</t>
  </si>
  <si>
    <t>Energy Comparisons</t>
  </si>
  <si>
    <t>Crop Treatment</t>
  </si>
  <si>
    <t>Effective  Planted  Area</t>
  </si>
  <si>
    <t>Measured Yield (BU/acre)</t>
  </si>
  <si>
    <t>Effective Yield (BU/Eff-A)</t>
  </si>
  <si>
    <t>Energy Cost of Production      (BTUs/Eff-A)</t>
  </si>
  <si>
    <t>Biofuel          Product</t>
  </si>
  <si>
    <t>Biofuel Energy                                            (BTUs/Eff-A)</t>
  </si>
  <si>
    <t>Heating Equivalent Energy     (BTUs/Eff-A)</t>
  </si>
  <si>
    <t>Total Net Energy (BTUs/Eff-A)</t>
  </si>
  <si>
    <t>Fuel Energy Ratio (FER) (BTU/BTU)</t>
  </si>
  <si>
    <t>Plant</t>
  </si>
  <si>
    <t>Harvest</t>
  </si>
  <si>
    <t>Total</t>
  </si>
  <si>
    <t>Processing</t>
  </si>
  <si>
    <t>Biofuel</t>
  </si>
  <si>
    <t>Net</t>
  </si>
  <si>
    <r>
      <t>(kj/g)</t>
    </r>
    <r>
      <rPr>
        <vertAlign val="superscript"/>
        <sz val="10"/>
        <rFont val="Arial"/>
        <family val="2"/>
      </rPr>
      <t>(1)</t>
    </r>
  </si>
  <si>
    <r>
      <t>(BTU/BU)</t>
    </r>
    <r>
      <rPr>
        <vertAlign val="superscript"/>
        <sz val="10"/>
        <rFont val="Arial"/>
        <family val="2"/>
      </rPr>
      <t>(A -D)</t>
    </r>
  </si>
  <si>
    <t>(BTUs/Eff-A)</t>
  </si>
  <si>
    <t>As Biofuel</t>
  </si>
  <si>
    <t>Heat Eqvlent</t>
  </si>
  <si>
    <t>Crop Year:  2009</t>
  </si>
  <si>
    <t>C-C</t>
  </si>
  <si>
    <r>
      <t>C-C</t>
    </r>
    <r>
      <rPr>
        <sz val="11"/>
        <color theme="1"/>
        <rFont val="Calibri"/>
        <family val="2"/>
        <scheme val="minor"/>
      </rPr>
      <t xml:space="preserve"> (average)</t>
    </r>
  </si>
  <si>
    <t>C-S-O/RC</t>
  </si>
  <si>
    <t>Corn:</t>
  </si>
  <si>
    <t>Corn Avg:</t>
  </si>
  <si>
    <t>Soy:</t>
  </si>
  <si>
    <t>Soy Avg:</t>
  </si>
  <si>
    <t>Oats, hay &amp; Clover Avg:</t>
  </si>
  <si>
    <t>None</t>
  </si>
  <si>
    <t>(lbs/acre)</t>
  </si>
  <si>
    <t>(lbs/Eff-A)</t>
  </si>
  <si>
    <t>(BTU/lb)</t>
  </si>
  <si>
    <t>(BTU/Eff-A)</t>
  </si>
  <si>
    <t>Crop Year:  2010</t>
  </si>
  <si>
    <t>Crop Year:  2011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</si>
</sst>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%"/>
  </numFmts>
  <fonts count="10">
    <font>
      <sz val="11"/>
      <color theme="1"/>
      <name val="Calibri"/>
      <family val="2"/>
      <scheme val="minor"/>
    </font>
    <font>
      <b/>
      <i/>
      <sz val="10"/>
      <name val="Arial"/>
    </font>
    <font>
      <b/>
      <sz val="10"/>
      <name val="Arial"/>
    </font>
    <font>
      <sz val="10"/>
      <name val="Arial"/>
    </font>
    <font>
      <b/>
      <sz val="14"/>
      <name val="Arial"/>
      <family val="2"/>
    </font>
    <font>
      <vertAlign val="superscript"/>
      <sz val="10"/>
      <name val="Arial"/>
      <family val="2"/>
    </font>
    <font>
      <b/>
      <sz val="12"/>
      <name val="Arial"/>
      <family val="2"/>
    </font>
    <font>
      <i/>
      <sz val="10"/>
      <name val="Arial"/>
    </font>
    <font>
      <b/>
      <sz val="9"/>
      <color indexed="81"/>
      <name val="Arial"/>
    </font>
    <font>
      <sz val="9"/>
      <color indexed="81"/>
      <name val="Arial"/>
    </font>
  </fonts>
  <fills count="8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09">
    <xf numFmtId="0" fontId="0" fillId="0" borderId="0" xfId="0"/>
    <xf numFmtId="0" fontId="1" fillId="0" borderId="0" xfId="0" applyFont="1" applyFill="1" applyBorder="1"/>
    <xf numFmtId="0" fontId="0" fillId="0" borderId="0" xfId="0" applyFill="1" applyBorder="1"/>
    <xf numFmtId="4" fontId="0" fillId="0" borderId="0" xfId="0" applyNumberFormat="1" applyFill="1" applyBorder="1"/>
    <xf numFmtId="0" fontId="2" fillId="0" borderId="0" xfId="0" applyFont="1" applyFill="1" applyBorder="1"/>
    <xf numFmtId="0" fontId="3" fillId="0" borderId="0" xfId="0" applyFont="1" applyFill="1" applyBorder="1"/>
    <xf numFmtId="3" fontId="3" fillId="0" borderId="0" xfId="0" applyNumberFormat="1" applyFont="1" applyFill="1" applyBorder="1"/>
    <xf numFmtId="3" fontId="0" fillId="0" borderId="0" xfId="0" applyNumberFormat="1" applyFill="1" applyBorder="1"/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2" borderId="4" xfId="0" applyFill="1" applyBorder="1"/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0" fillId="0" borderId="11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0" fillId="0" borderId="9" xfId="0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horizontal="center" vertical="center" wrapText="1"/>
    </xf>
    <xf numFmtId="0" fontId="0" fillId="0" borderId="8" xfId="0" applyBorder="1" applyAlignment="1">
      <alignment vertical="center" wrapText="1"/>
    </xf>
    <xf numFmtId="0" fontId="0" fillId="2" borderId="8" xfId="0" applyFill="1" applyBorder="1" applyAlignment="1">
      <alignment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vertical="center" wrapText="1"/>
    </xf>
    <xf numFmtId="0" fontId="0" fillId="0" borderId="15" xfId="0" applyBorder="1" applyAlignment="1">
      <alignment vertical="center" wrapText="1"/>
    </xf>
    <xf numFmtId="0" fontId="0" fillId="0" borderId="17" xfId="0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0" fillId="0" borderId="19" xfId="0" applyBorder="1" applyAlignment="1">
      <alignment vertical="center"/>
    </xf>
    <xf numFmtId="0" fontId="0" fillId="0" borderId="20" xfId="0" applyBorder="1" applyAlignment="1">
      <alignment horizontal="center" vertical="center" wrapText="1"/>
    </xf>
    <xf numFmtId="0" fontId="0" fillId="0" borderId="20" xfId="0" applyBorder="1" applyAlignment="1">
      <alignment vertical="center" wrapText="1"/>
    </xf>
    <xf numFmtId="0" fontId="0" fillId="2" borderId="20" xfId="0" applyFill="1" applyBorder="1" applyAlignment="1">
      <alignment vertical="center" wrapText="1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/>
    </xf>
    <xf numFmtId="0" fontId="0" fillId="0" borderId="24" xfId="0" applyBorder="1" applyAlignment="1">
      <alignment vertical="center" wrapText="1"/>
    </xf>
    <xf numFmtId="0" fontId="0" fillId="0" borderId="22" xfId="0" applyFill="1" applyBorder="1" applyAlignment="1">
      <alignment horizontal="center" vertical="center"/>
    </xf>
    <xf numFmtId="0" fontId="3" fillId="0" borderId="25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7" xfId="0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horizontal="center" vertical="center"/>
    </xf>
    <xf numFmtId="0" fontId="0" fillId="0" borderId="29" xfId="0" applyBorder="1"/>
    <xf numFmtId="0" fontId="0" fillId="0" borderId="30" xfId="0" applyBorder="1"/>
    <xf numFmtId="0" fontId="0" fillId="2" borderId="30" xfId="0" applyFill="1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31" xfId="0" applyBorder="1" applyAlignment="1">
      <alignment horizontal="center"/>
    </xf>
    <xf numFmtId="0" fontId="0" fillId="0" borderId="34" xfId="0" applyBorder="1"/>
    <xf numFmtId="0" fontId="4" fillId="3" borderId="35" xfId="0" applyFont="1" applyFill="1" applyBorder="1" applyAlignment="1">
      <alignment horizontal="center"/>
    </xf>
    <xf numFmtId="0" fontId="6" fillId="3" borderId="36" xfId="0" applyFont="1" applyFill="1" applyBorder="1" applyAlignment="1">
      <alignment horizontal="center"/>
    </xf>
    <xf numFmtId="164" fontId="3" fillId="3" borderId="36" xfId="0" applyNumberFormat="1" applyFont="1" applyFill="1" applyBorder="1"/>
    <xf numFmtId="0" fontId="0" fillId="3" borderId="37" xfId="0" applyFill="1" applyBorder="1"/>
    <xf numFmtId="0" fontId="0" fillId="3" borderId="38" xfId="0" applyFill="1" applyBorder="1"/>
    <xf numFmtId="0" fontId="0" fillId="3" borderId="39" xfId="0" applyFill="1" applyBorder="1"/>
    <xf numFmtId="0" fontId="0" fillId="3" borderId="36" xfId="0" applyFill="1" applyBorder="1"/>
    <xf numFmtId="0" fontId="0" fillId="3" borderId="39" xfId="0" applyFill="1" applyBorder="1" applyAlignment="1">
      <alignment horizontal="center"/>
    </xf>
    <xf numFmtId="0" fontId="0" fillId="3" borderId="40" xfId="0" applyFill="1" applyBorder="1"/>
    <xf numFmtId="0" fontId="2" fillId="0" borderId="7" xfId="0" applyFont="1" applyBorder="1" applyAlignment="1">
      <alignment horizontal="left"/>
    </xf>
    <xf numFmtId="165" fontId="3" fillId="0" borderId="8" xfId="0" applyNumberFormat="1" applyFont="1" applyFill="1" applyBorder="1" applyAlignment="1">
      <alignment horizontal="center"/>
    </xf>
    <xf numFmtId="164" fontId="3" fillId="0" borderId="8" xfId="0" applyNumberFormat="1" applyFont="1" applyBorder="1" applyAlignment="1">
      <alignment horizontal="center"/>
    </xf>
    <xf numFmtId="164" fontId="3" fillId="0" borderId="13" xfId="0" applyNumberFormat="1" applyFont="1" applyBorder="1" applyAlignment="1">
      <alignment horizontal="center"/>
    </xf>
    <xf numFmtId="164" fontId="3" fillId="2" borderId="8" xfId="0" applyNumberFormat="1" applyFont="1" applyFill="1" applyBorder="1" applyAlignment="1">
      <alignment horizontal="center"/>
    </xf>
    <xf numFmtId="3" fontId="0" fillId="0" borderId="9" xfId="0" applyNumberFormat="1" applyFill="1" applyBorder="1" applyAlignment="1">
      <alignment horizontal="center"/>
    </xf>
    <xf numFmtId="3" fontId="0" fillId="0" borderId="8" xfId="0" applyNumberFormat="1" applyFill="1" applyBorder="1" applyAlignment="1">
      <alignment horizontal="center"/>
    </xf>
    <xf numFmtId="3" fontId="0" fillId="0" borderId="13" xfId="0" applyNumberFormat="1" applyFill="1" applyBorder="1" applyAlignment="1">
      <alignment horizontal="center"/>
    </xf>
    <xf numFmtId="0" fontId="0" fillId="0" borderId="0" xfId="0" applyBorder="1"/>
    <xf numFmtId="3" fontId="0" fillId="0" borderId="0" xfId="0" applyNumberFormat="1" applyFill="1" applyBorder="1" applyAlignment="1">
      <alignment horizontal="center"/>
    </xf>
    <xf numFmtId="2" fontId="0" fillId="0" borderId="13" xfId="0" applyNumberFormat="1" applyFill="1" applyBorder="1" applyAlignment="1">
      <alignment horizontal="center"/>
    </xf>
    <xf numFmtId="164" fontId="0" fillId="0" borderId="41" xfId="0" applyNumberFormat="1" applyFill="1" applyBorder="1" applyAlignment="1">
      <alignment horizontal="center"/>
    </xf>
    <xf numFmtId="0" fontId="6" fillId="0" borderId="7" xfId="0" applyFont="1" applyBorder="1" applyAlignment="1">
      <alignment horizontal="center"/>
    </xf>
    <xf numFmtId="3" fontId="0" fillId="0" borderId="15" xfId="0" applyNumberFormat="1" applyFill="1" applyBorder="1" applyAlignment="1">
      <alignment horizontal="center"/>
    </xf>
    <xf numFmtId="3" fontId="0" fillId="0" borderId="13" xfId="0" applyNumberFormat="1" applyBorder="1" applyAlignment="1">
      <alignment horizontal="center"/>
    </xf>
    <xf numFmtId="0" fontId="0" fillId="0" borderId="9" xfId="0" applyBorder="1"/>
    <xf numFmtId="3" fontId="0" fillId="0" borderId="42" xfId="0" applyNumberFormat="1" applyFill="1" applyBorder="1" applyAlignment="1">
      <alignment horizontal="center"/>
    </xf>
    <xf numFmtId="0" fontId="2" fillId="4" borderId="43" xfId="0" applyFont="1" applyFill="1" applyBorder="1"/>
    <xf numFmtId="165" fontId="2" fillId="4" borderId="44" xfId="0" applyNumberFormat="1" applyFont="1" applyFill="1" applyBorder="1"/>
    <xf numFmtId="164" fontId="3" fillId="4" borderId="44" xfId="0" applyNumberFormat="1" applyFont="1" applyFill="1" applyBorder="1" applyAlignment="1">
      <alignment horizontal="center"/>
    </xf>
    <xf numFmtId="164" fontId="0" fillId="4" borderId="44" xfId="0" applyNumberFormat="1" applyFill="1" applyBorder="1" applyAlignment="1">
      <alignment horizontal="center"/>
    </xf>
    <xf numFmtId="164" fontId="0" fillId="2" borderId="44" xfId="0" applyNumberFormat="1" applyFill="1" applyBorder="1" applyAlignment="1">
      <alignment horizontal="center"/>
    </xf>
    <xf numFmtId="3" fontId="0" fillId="4" borderId="45" xfId="0" applyNumberFormat="1" applyFill="1" applyBorder="1" applyAlignment="1">
      <alignment horizontal="center"/>
    </xf>
    <xf numFmtId="3" fontId="0" fillId="4" borderId="44" xfId="0" applyNumberFormat="1" applyFill="1" applyBorder="1" applyAlignment="1">
      <alignment horizontal="center"/>
    </xf>
    <xf numFmtId="3" fontId="0" fillId="4" borderId="46" xfId="0" applyNumberFormat="1" applyFill="1" applyBorder="1" applyAlignment="1">
      <alignment horizontal="center"/>
    </xf>
    <xf numFmtId="0" fontId="0" fillId="4" borderId="45" xfId="0" applyFill="1" applyBorder="1" applyAlignment="1">
      <alignment horizontal="center"/>
    </xf>
    <xf numFmtId="2" fontId="0" fillId="4" borderId="44" xfId="0" applyNumberFormat="1" applyFill="1" applyBorder="1" applyAlignment="1">
      <alignment horizontal="center"/>
    </xf>
    <xf numFmtId="164" fontId="0" fillId="4" borderId="47" xfId="0" applyNumberFormat="1" applyFill="1" applyBorder="1" applyAlignment="1">
      <alignment horizontal="center"/>
    </xf>
    <xf numFmtId="0" fontId="0" fillId="0" borderId="7" xfId="0" applyBorder="1"/>
    <xf numFmtId="165" fontId="0" fillId="0" borderId="8" xfId="0" applyNumberFormat="1" applyFill="1" applyBorder="1"/>
    <xf numFmtId="164" fontId="0" fillId="0" borderId="8" xfId="0" applyNumberFormat="1" applyFill="1" applyBorder="1"/>
    <xf numFmtId="164" fontId="3" fillId="0" borderId="8" xfId="0" applyNumberFormat="1" applyFont="1" applyBorder="1"/>
    <xf numFmtId="164" fontId="3" fillId="2" borderId="8" xfId="0" applyNumberFormat="1" applyFont="1" applyFill="1" applyBorder="1"/>
    <xf numFmtId="0" fontId="0" fillId="0" borderId="8" xfId="0" applyBorder="1"/>
    <xf numFmtId="0" fontId="0" fillId="0" borderId="0" xfId="0" applyBorder="1" applyAlignment="1">
      <alignment horizontal="center"/>
    </xf>
    <xf numFmtId="2" fontId="0" fillId="0" borderId="13" xfId="0" applyNumberFormat="1" applyBorder="1"/>
    <xf numFmtId="164" fontId="0" fillId="0" borderId="41" xfId="0" applyNumberFormat="1" applyBorder="1"/>
    <xf numFmtId="0" fontId="2" fillId="0" borderId="7" xfId="0" applyFont="1" applyBorder="1"/>
    <xf numFmtId="165" fontId="2" fillId="0" borderId="8" xfId="0" applyNumberFormat="1" applyFont="1" applyFill="1" applyBorder="1"/>
    <xf numFmtId="164" fontId="2" fillId="0" borderId="8" xfId="0" applyNumberFormat="1" applyFont="1" applyFill="1" applyBorder="1"/>
    <xf numFmtId="0" fontId="0" fillId="0" borderId="7" xfId="0" applyBorder="1" applyAlignment="1">
      <alignment horizontal="right"/>
    </xf>
    <xf numFmtId="165" fontId="0" fillId="0" borderId="8" xfId="0" applyNumberFormat="1" applyFill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164" fontId="3" fillId="0" borderId="13" xfId="0" applyNumberFormat="1" applyFont="1" applyFill="1" applyBorder="1" applyAlignment="1">
      <alignment horizontal="center"/>
    </xf>
    <xf numFmtId="164" fontId="3" fillId="0" borderId="8" xfId="0" applyNumberFormat="1" applyFont="1" applyFill="1" applyBorder="1" applyAlignment="1">
      <alignment horizontal="center"/>
    </xf>
    <xf numFmtId="0" fontId="0" fillId="0" borderId="17" xfId="0" applyBorder="1"/>
    <xf numFmtId="0" fontId="0" fillId="5" borderId="43" xfId="0" applyFill="1" applyBorder="1" applyAlignment="1">
      <alignment horizontal="right"/>
    </xf>
    <xf numFmtId="165" fontId="0" fillId="5" borderId="44" xfId="0" applyNumberFormat="1" applyFill="1" applyBorder="1" applyAlignment="1">
      <alignment horizontal="center"/>
    </xf>
    <xf numFmtId="164" fontId="0" fillId="5" borderId="44" xfId="0" applyNumberFormat="1" applyFill="1" applyBorder="1" applyAlignment="1">
      <alignment horizontal="center"/>
    </xf>
    <xf numFmtId="3" fontId="0" fillId="5" borderId="45" xfId="0" applyNumberFormat="1" applyFill="1" applyBorder="1" applyAlignment="1">
      <alignment horizontal="center"/>
    </xf>
    <xf numFmtId="3" fontId="0" fillId="5" borderId="44" xfId="0" applyNumberFormat="1" applyFill="1" applyBorder="1" applyAlignment="1">
      <alignment horizontal="center"/>
    </xf>
    <xf numFmtId="3" fontId="0" fillId="5" borderId="46" xfId="0" applyNumberFormat="1" applyFill="1" applyBorder="1" applyAlignment="1">
      <alignment horizontal="center"/>
    </xf>
    <xf numFmtId="0" fontId="0" fillId="5" borderId="45" xfId="0" applyFill="1" applyBorder="1" applyAlignment="1">
      <alignment horizontal="center"/>
    </xf>
    <xf numFmtId="2" fontId="0" fillId="5" borderId="44" xfId="0" applyNumberFormat="1" applyFill="1" applyBorder="1" applyAlignment="1">
      <alignment horizontal="center"/>
    </xf>
    <xf numFmtId="164" fontId="0" fillId="5" borderId="47" xfId="0" applyNumberFormat="1" applyFill="1" applyBorder="1" applyAlignment="1">
      <alignment horizontal="center"/>
    </xf>
    <xf numFmtId="164" fontId="0" fillId="0" borderId="8" xfId="0" applyNumberFormat="1" applyFill="1" applyBorder="1" applyAlignment="1">
      <alignment horizontal="center"/>
    </xf>
    <xf numFmtId="0" fontId="3" fillId="0" borderId="8" xfId="0" applyFont="1" applyBorder="1" applyAlignment="1">
      <alignment horizontal="center"/>
    </xf>
    <xf numFmtId="164" fontId="3" fillId="0" borderId="16" xfId="0" applyNumberFormat="1" applyFont="1" applyBorder="1" applyAlignment="1">
      <alignment horizontal="center"/>
    </xf>
    <xf numFmtId="164" fontId="3" fillId="2" borderId="42" xfId="0" applyNumberFormat="1" applyFont="1" applyFill="1" applyBorder="1" applyAlignment="1">
      <alignment horizontal="center"/>
    </xf>
    <xf numFmtId="3" fontId="0" fillId="0" borderId="17" xfId="0" applyNumberFormat="1" applyFill="1" applyBorder="1" applyAlignment="1">
      <alignment horizontal="center"/>
    </xf>
    <xf numFmtId="0" fontId="0" fillId="6" borderId="43" xfId="0" applyFill="1" applyBorder="1" applyAlignment="1">
      <alignment horizontal="right"/>
    </xf>
    <xf numFmtId="165" fontId="0" fillId="6" borderId="44" xfId="0" applyNumberFormat="1" applyFill="1" applyBorder="1" applyAlignment="1">
      <alignment horizontal="right"/>
    </xf>
    <xf numFmtId="164" fontId="0" fillId="6" borderId="44" xfId="0" applyNumberFormat="1" applyFill="1" applyBorder="1" applyAlignment="1">
      <alignment horizontal="right"/>
    </xf>
    <xf numFmtId="164" fontId="0" fillId="6" borderId="42" xfId="0" applyNumberFormat="1" applyFill="1" applyBorder="1" applyAlignment="1">
      <alignment horizontal="center"/>
    </xf>
    <xf numFmtId="164" fontId="0" fillId="2" borderId="42" xfId="0" applyNumberFormat="1" applyFill="1" applyBorder="1" applyAlignment="1">
      <alignment horizontal="center"/>
    </xf>
    <xf numFmtId="3" fontId="0" fillId="6" borderId="45" xfId="0" applyNumberFormat="1" applyFill="1" applyBorder="1" applyAlignment="1">
      <alignment horizontal="center"/>
    </xf>
    <xf numFmtId="3" fontId="0" fillId="6" borderId="44" xfId="0" applyNumberFormat="1" applyFill="1" applyBorder="1" applyAlignment="1">
      <alignment horizontal="center"/>
    </xf>
    <xf numFmtId="3" fontId="0" fillId="6" borderId="46" xfId="0" applyNumberFormat="1" applyFill="1" applyBorder="1" applyAlignment="1">
      <alignment horizontal="center"/>
    </xf>
    <xf numFmtId="0" fontId="0" fillId="6" borderId="17" xfId="0" applyFill="1" applyBorder="1" applyAlignment="1">
      <alignment horizontal="center"/>
    </xf>
    <xf numFmtId="0" fontId="0" fillId="6" borderId="45" xfId="0" applyFill="1" applyBorder="1" applyAlignment="1">
      <alignment horizontal="center"/>
    </xf>
    <xf numFmtId="2" fontId="0" fillId="6" borderId="44" xfId="0" applyNumberFormat="1" applyFill="1" applyBorder="1" applyAlignment="1">
      <alignment horizontal="center"/>
    </xf>
    <xf numFmtId="164" fontId="0" fillId="6" borderId="47" xfId="0" applyNumberFormat="1" applyFill="1" applyBorder="1" applyAlignment="1">
      <alignment horizontal="center"/>
    </xf>
    <xf numFmtId="165" fontId="0" fillId="0" borderId="8" xfId="0" applyNumberFormat="1" applyBorder="1"/>
    <xf numFmtId="164" fontId="0" fillId="0" borderId="8" xfId="0" applyNumberFormat="1" applyBorder="1"/>
    <xf numFmtId="0" fontId="0" fillId="7" borderId="43" xfId="0" applyFill="1" applyBorder="1" applyAlignment="1">
      <alignment horizontal="right"/>
    </xf>
    <xf numFmtId="165" fontId="0" fillId="7" borderId="46" xfId="0" applyNumberFormat="1" applyFill="1" applyBorder="1" applyAlignment="1">
      <alignment horizontal="center"/>
    </xf>
    <xf numFmtId="3" fontId="0" fillId="7" borderId="48" xfId="0" applyNumberFormat="1" applyFill="1" applyBorder="1" applyAlignment="1">
      <alignment horizontal="center"/>
    </xf>
    <xf numFmtId="164" fontId="3" fillId="7" borderId="49" xfId="0" applyNumberFormat="1" applyFont="1" applyFill="1" applyBorder="1" applyAlignment="1">
      <alignment horizontal="center"/>
    </xf>
    <xf numFmtId="164" fontId="3" fillId="2" borderId="49" xfId="0" applyNumberFormat="1" applyFont="1" applyFill="1" applyBorder="1" applyAlignment="1">
      <alignment horizontal="center"/>
    </xf>
    <xf numFmtId="3" fontId="0" fillId="7" borderId="50" xfId="0" applyNumberFormat="1" applyFill="1" applyBorder="1" applyAlignment="1">
      <alignment horizontal="center"/>
    </xf>
    <xf numFmtId="3" fontId="0" fillId="7" borderId="44" xfId="0" applyNumberFormat="1" applyFill="1" applyBorder="1" applyAlignment="1">
      <alignment horizontal="center"/>
    </xf>
    <xf numFmtId="0" fontId="3" fillId="7" borderId="45" xfId="0" applyFont="1" applyFill="1" applyBorder="1" applyAlignment="1">
      <alignment horizontal="center"/>
    </xf>
    <xf numFmtId="0" fontId="0" fillId="7" borderId="50" xfId="0" applyFill="1" applyBorder="1"/>
    <xf numFmtId="0" fontId="2" fillId="7" borderId="44" xfId="0" applyFont="1" applyFill="1" applyBorder="1"/>
    <xf numFmtId="0" fontId="3" fillId="7" borderId="50" xfId="0" applyFont="1" applyFill="1" applyBorder="1" applyAlignment="1">
      <alignment horizontal="center"/>
    </xf>
    <xf numFmtId="3" fontId="0" fillId="7" borderId="49" xfId="0" applyNumberFormat="1" applyFill="1" applyBorder="1" applyAlignment="1">
      <alignment horizontal="center"/>
    </xf>
    <xf numFmtId="3" fontId="0" fillId="7" borderId="45" xfId="0" applyNumberFormat="1" applyFill="1" applyBorder="1" applyAlignment="1">
      <alignment horizontal="center"/>
    </xf>
    <xf numFmtId="2" fontId="0" fillId="7" borderId="46" xfId="0" applyNumberFormat="1" applyFill="1" applyBorder="1" applyAlignment="1">
      <alignment horizontal="center"/>
    </xf>
    <xf numFmtId="164" fontId="0" fillId="7" borderId="47" xfId="0" applyNumberFormat="1" applyFill="1" applyBorder="1" applyAlignment="1">
      <alignment horizontal="center"/>
    </xf>
    <xf numFmtId="165" fontId="0" fillId="0" borderId="13" xfId="0" applyNumberFormat="1" applyFill="1" applyBorder="1" applyAlignment="1">
      <alignment horizontal="center"/>
    </xf>
    <xf numFmtId="164" fontId="0" fillId="7" borderId="16" xfId="0" applyNumberFormat="1" applyFill="1" applyBorder="1" applyAlignment="1">
      <alignment horizontal="center"/>
    </xf>
    <xf numFmtId="164" fontId="3" fillId="7" borderId="42" xfId="0" applyNumberFormat="1" applyFont="1" applyFill="1" applyBorder="1" applyAlignment="1">
      <alignment horizontal="center"/>
    </xf>
    <xf numFmtId="0" fontId="0" fillId="7" borderId="16" xfId="0" applyFill="1" applyBorder="1" applyAlignment="1">
      <alignment horizontal="center"/>
    </xf>
    <xf numFmtId="0" fontId="0" fillId="7" borderId="42" xfId="0" applyFill="1" applyBorder="1" applyAlignment="1">
      <alignment horizontal="center"/>
    </xf>
    <xf numFmtId="0" fontId="0" fillId="0" borderId="51" xfId="0" applyFill="1" applyBorder="1"/>
    <xf numFmtId="165" fontId="0" fillId="0" borderId="42" xfId="0" applyNumberFormat="1" applyFill="1" applyBorder="1"/>
    <xf numFmtId="164" fontId="0" fillId="0" borderId="42" xfId="0" applyNumberFormat="1" applyFill="1" applyBorder="1"/>
    <xf numFmtId="164" fontId="0" fillId="2" borderId="42" xfId="0" applyNumberFormat="1" applyFill="1" applyBorder="1"/>
    <xf numFmtId="0" fontId="0" fillId="0" borderId="15" xfId="0" applyFill="1" applyBorder="1"/>
    <xf numFmtId="0" fontId="0" fillId="0" borderId="42" xfId="0" applyFill="1" applyBorder="1"/>
    <xf numFmtId="0" fontId="0" fillId="0" borderId="17" xfId="0" applyFill="1" applyBorder="1"/>
    <xf numFmtId="2" fontId="0" fillId="0" borderId="16" xfId="0" applyNumberFormat="1" applyFill="1" applyBorder="1"/>
    <xf numFmtId="164" fontId="0" fillId="0" borderId="52" xfId="0" applyNumberFormat="1" applyFill="1" applyBorder="1"/>
    <xf numFmtId="165" fontId="6" fillId="3" borderId="36" xfId="0" applyNumberFormat="1" applyFont="1" applyFill="1" applyBorder="1" applyAlignment="1">
      <alignment horizontal="center"/>
    </xf>
    <xf numFmtId="164" fontId="6" fillId="3" borderId="36" xfId="0" applyNumberFormat="1" applyFont="1" applyFill="1" applyBorder="1" applyAlignment="1">
      <alignment horizontal="center"/>
    </xf>
    <xf numFmtId="164" fontId="0" fillId="3" borderId="36" xfId="0" applyNumberFormat="1" applyFill="1" applyBorder="1"/>
    <xf numFmtId="2" fontId="0" fillId="3" borderId="38" xfId="0" applyNumberFormat="1" applyFill="1" applyBorder="1"/>
    <xf numFmtId="164" fontId="0" fillId="3" borderId="40" xfId="0" applyNumberFormat="1" applyFill="1" applyBorder="1"/>
    <xf numFmtId="164" fontId="2" fillId="4" borderId="44" xfId="0" applyNumberFormat="1" applyFont="1" applyFill="1" applyBorder="1"/>
    <xf numFmtId="3" fontId="0" fillId="0" borderId="8" xfId="0" applyNumberFormat="1" applyBorder="1"/>
    <xf numFmtId="3" fontId="0" fillId="0" borderId="0" xfId="0" applyNumberFormat="1" applyBorder="1"/>
    <xf numFmtId="164" fontId="2" fillId="0" borderId="8" xfId="0" applyNumberFormat="1" applyFont="1" applyBorder="1"/>
    <xf numFmtId="164" fontId="0" fillId="2" borderId="8" xfId="0" applyNumberFormat="1" applyFill="1" applyBorder="1"/>
    <xf numFmtId="164" fontId="0" fillId="5" borderId="44" xfId="0" applyNumberFormat="1" applyFill="1" applyBorder="1" applyAlignment="1">
      <alignment horizontal="right"/>
    </xf>
    <xf numFmtId="164" fontId="0" fillId="6" borderId="44" xfId="0" applyNumberFormat="1" applyFill="1" applyBorder="1" applyAlignment="1">
      <alignment horizontal="center"/>
    </xf>
    <xf numFmtId="3" fontId="3" fillId="7" borderId="53" xfId="0" applyNumberFormat="1" applyFont="1" applyFill="1" applyBorder="1" applyAlignment="1">
      <alignment horizontal="center"/>
    </xf>
    <xf numFmtId="3" fontId="3" fillId="2" borderId="49" xfId="0" applyNumberFormat="1" applyFont="1" applyFill="1" applyBorder="1" applyAlignment="1">
      <alignment horizontal="center"/>
    </xf>
    <xf numFmtId="164" fontId="0" fillId="7" borderId="42" xfId="0" applyNumberFormat="1" applyFill="1" applyBorder="1" applyAlignment="1">
      <alignment horizontal="center"/>
    </xf>
    <xf numFmtId="164" fontId="3" fillId="7" borderId="17" xfId="0" applyNumberFormat="1" applyFont="1" applyFill="1" applyBorder="1" applyAlignment="1">
      <alignment horizontal="center"/>
    </xf>
    <xf numFmtId="0" fontId="0" fillId="0" borderId="8" xfId="0" applyFill="1" applyBorder="1"/>
    <xf numFmtId="0" fontId="3" fillId="0" borderId="9" xfId="0" applyFont="1" applyFill="1" applyBorder="1" applyAlignment="1">
      <alignment horizontal="center"/>
    </xf>
    <xf numFmtId="0" fontId="7" fillId="0" borderId="8" xfId="0" applyFont="1" applyFill="1" applyBorder="1"/>
    <xf numFmtId="0" fontId="7" fillId="0" borderId="0" xfId="0" applyFont="1" applyFill="1" applyBorder="1"/>
    <xf numFmtId="164" fontId="7" fillId="0" borderId="54" xfId="0" applyNumberFormat="1" applyFont="1" applyFill="1" applyBorder="1"/>
    <xf numFmtId="0" fontId="6" fillId="0" borderId="7" xfId="0" applyFont="1" applyFill="1" applyBorder="1" applyAlignment="1">
      <alignment horizontal="center"/>
    </xf>
    <xf numFmtId="0" fontId="0" fillId="0" borderId="0" xfId="0" applyFill="1"/>
    <xf numFmtId="0" fontId="7" fillId="0" borderId="54" xfId="0" applyFont="1" applyFill="1" applyBorder="1"/>
    <xf numFmtId="0" fontId="0" fillId="0" borderId="19" xfId="0" applyFill="1" applyBorder="1"/>
    <xf numFmtId="165" fontId="0" fillId="0" borderId="20" xfId="0" applyNumberFormat="1" applyFill="1" applyBorder="1"/>
    <xf numFmtId="164" fontId="0" fillId="0" borderId="20" xfId="0" applyNumberFormat="1" applyFill="1" applyBorder="1"/>
    <xf numFmtId="164" fontId="0" fillId="2" borderId="20" xfId="0" applyNumberFormat="1" applyFill="1" applyBorder="1"/>
    <xf numFmtId="0" fontId="0" fillId="0" borderId="21" xfId="0" applyFill="1" applyBorder="1"/>
    <xf numFmtId="0" fontId="3" fillId="0" borderId="24" xfId="0" applyFont="1" applyFill="1" applyBorder="1" applyAlignment="1">
      <alignment horizontal="center"/>
    </xf>
    <xf numFmtId="0" fontId="0" fillId="0" borderId="20" xfId="0" applyFill="1" applyBorder="1"/>
    <xf numFmtId="0" fontId="7" fillId="0" borderId="24" xfId="0" applyFont="1" applyFill="1" applyBorder="1" applyAlignment="1">
      <alignment horizontal="center"/>
    </xf>
    <xf numFmtId="0" fontId="7" fillId="0" borderId="20" xfId="0" applyFont="1" applyFill="1" applyBorder="1"/>
    <xf numFmtId="0" fontId="7" fillId="0" borderId="21" xfId="0" applyFont="1" applyFill="1" applyBorder="1"/>
    <xf numFmtId="0" fontId="7" fillId="0" borderId="55" xfId="0" applyFont="1" applyFill="1" applyBorder="1"/>
    <xf numFmtId="165" fontId="0" fillId="0" borderId="0" xfId="0" applyNumberFormat="1" applyBorder="1"/>
    <xf numFmtId="164" fontId="0" fillId="0" borderId="0" xfId="0" applyNumberFormat="1" applyBorder="1"/>
    <xf numFmtId="0" fontId="3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ioenergy%20&amp;%20Diversity%20-%2018%20Oct%20'1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teps"/>
      <sheetName val="Stats"/>
      <sheetName val="Energy Summary"/>
      <sheetName val="Field Operations"/>
      <sheetName val="Yield Summary"/>
      <sheetName val="Calculations"/>
      <sheetName val="References &amp; Conversions"/>
      <sheetName val="Energy Values"/>
      <sheetName val="Dry Calcs"/>
      <sheetName val="Sheet2"/>
      <sheetName val="Analysis"/>
    </sheetNames>
    <sheetDataSet>
      <sheetData sheetId="0"/>
      <sheetData sheetId="1"/>
      <sheetData sheetId="2"/>
      <sheetData sheetId="3">
        <row r="13">
          <cell r="G13">
            <v>387600</v>
          </cell>
          <cell r="O13">
            <v>367200</v>
          </cell>
          <cell r="V13">
            <v>367200</v>
          </cell>
          <cell r="AC13">
            <v>115600</v>
          </cell>
        </row>
        <row r="19">
          <cell r="G19">
            <v>3508800</v>
          </cell>
          <cell r="O19">
            <v>0</v>
          </cell>
          <cell r="V19">
            <v>0</v>
          </cell>
          <cell r="AC19">
            <v>0</v>
          </cell>
        </row>
        <row r="26">
          <cell r="G26">
            <v>197200</v>
          </cell>
          <cell r="O26">
            <v>197200</v>
          </cell>
          <cell r="V26">
            <v>136000</v>
          </cell>
          <cell r="AC26">
            <v>238000</v>
          </cell>
        </row>
        <row r="37">
          <cell r="G37">
            <v>408000</v>
          </cell>
          <cell r="O37">
            <v>401200</v>
          </cell>
          <cell r="V37">
            <v>326400</v>
          </cell>
          <cell r="AC37">
            <v>210800</v>
          </cell>
        </row>
        <row r="40">
          <cell r="G40">
            <v>3508800</v>
          </cell>
        </row>
        <row r="43">
          <cell r="O43">
            <v>0</v>
          </cell>
          <cell r="V43">
            <v>0</v>
          </cell>
          <cell r="AC43">
            <v>0</v>
          </cell>
        </row>
        <row r="50">
          <cell r="G50">
            <v>197200</v>
          </cell>
          <cell r="O50">
            <v>197200</v>
          </cell>
          <cell r="V50">
            <v>136000</v>
          </cell>
          <cell r="AC50">
            <v>163200</v>
          </cell>
        </row>
        <row r="61">
          <cell r="G61">
            <v>394400</v>
          </cell>
          <cell r="O61">
            <v>387600</v>
          </cell>
          <cell r="V61">
            <v>387600</v>
          </cell>
          <cell r="AC61">
            <v>136000</v>
          </cell>
        </row>
        <row r="64">
          <cell r="G64">
            <v>3508800</v>
          </cell>
        </row>
        <row r="67">
          <cell r="O67">
            <v>0</v>
          </cell>
          <cell r="V67">
            <v>0</v>
          </cell>
          <cell r="AC67">
            <v>0</v>
          </cell>
        </row>
        <row r="74">
          <cell r="G74">
            <v>197200</v>
          </cell>
          <cell r="O74">
            <v>197200</v>
          </cell>
          <cell r="V74">
            <v>136000</v>
          </cell>
          <cell r="AC74">
            <v>163200</v>
          </cell>
        </row>
      </sheetData>
      <sheetData sheetId="4">
        <row r="7">
          <cell r="C7">
            <v>162.4</v>
          </cell>
          <cell r="E7">
            <v>3220</v>
          </cell>
        </row>
        <row r="8">
          <cell r="C8">
            <v>176.9</v>
          </cell>
          <cell r="E8">
            <v>0</v>
          </cell>
        </row>
        <row r="9">
          <cell r="C9">
            <v>169</v>
          </cell>
          <cell r="E9">
            <v>0</v>
          </cell>
        </row>
        <row r="13">
          <cell r="C13">
            <v>163.69999999999999</v>
          </cell>
          <cell r="E13">
            <v>0</v>
          </cell>
        </row>
        <row r="14">
          <cell r="C14">
            <v>144.5</v>
          </cell>
          <cell r="E14">
            <v>0</v>
          </cell>
        </row>
        <row r="15">
          <cell r="C15">
            <v>131.6</v>
          </cell>
          <cell r="E15">
            <v>0</v>
          </cell>
        </row>
        <row r="18">
          <cell r="C18">
            <v>71.7</v>
          </cell>
          <cell r="E18">
            <v>3340</v>
          </cell>
        </row>
        <row r="19">
          <cell r="C19">
            <v>69.599999999999994</v>
          </cell>
          <cell r="E19">
            <v>3500</v>
          </cell>
        </row>
        <row r="20">
          <cell r="C20">
            <v>68.8</v>
          </cell>
          <cell r="E20">
            <v>3500</v>
          </cell>
        </row>
        <row r="26">
          <cell r="C26">
            <v>2080</v>
          </cell>
        </row>
        <row r="29">
          <cell r="C29">
            <v>179.7</v>
          </cell>
          <cell r="E29">
            <v>0</v>
          </cell>
        </row>
        <row r="30">
          <cell r="C30">
            <v>200.3</v>
          </cell>
          <cell r="E30">
            <v>0</v>
          </cell>
        </row>
        <row r="31">
          <cell r="C31">
            <v>195.5</v>
          </cell>
          <cell r="E31">
            <v>0</v>
          </cell>
        </row>
        <row r="35">
          <cell r="C35">
            <v>198.6</v>
          </cell>
          <cell r="E35">
            <v>0</v>
          </cell>
        </row>
        <row r="36">
          <cell r="C36">
            <v>196.8</v>
          </cell>
          <cell r="E36">
            <v>0</v>
          </cell>
        </row>
        <row r="37">
          <cell r="C37">
            <v>200.4</v>
          </cell>
          <cell r="E37">
            <v>0</v>
          </cell>
        </row>
        <row r="40">
          <cell r="C40">
            <v>70.7</v>
          </cell>
          <cell r="E40">
            <v>0</v>
          </cell>
        </row>
        <row r="41">
          <cell r="C41">
            <v>70.8</v>
          </cell>
          <cell r="E41">
            <v>0</v>
          </cell>
        </row>
        <row r="42">
          <cell r="C42">
            <v>73.5</v>
          </cell>
          <cell r="E42">
            <v>0</v>
          </cell>
        </row>
        <row r="48">
          <cell r="C48">
            <v>6391.666666666667</v>
          </cell>
        </row>
        <row r="51">
          <cell r="C51">
            <v>152.69999999999999</v>
          </cell>
        </row>
        <row r="52">
          <cell r="C52">
            <v>163.6</v>
          </cell>
        </row>
        <row r="53">
          <cell r="C53">
            <v>156.4</v>
          </cell>
        </row>
        <row r="57">
          <cell r="C57">
            <v>178.9</v>
          </cell>
          <cell r="E57">
            <v>0</v>
          </cell>
        </row>
        <row r="58">
          <cell r="C58">
            <v>180.2</v>
          </cell>
          <cell r="E58">
            <v>0</v>
          </cell>
        </row>
        <row r="59">
          <cell r="C59">
            <v>177.7</v>
          </cell>
          <cell r="E59">
            <v>0</v>
          </cell>
        </row>
        <row r="62">
          <cell r="C62">
            <v>78.400000000000006</v>
          </cell>
          <cell r="E62">
            <v>0</v>
          </cell>
        </row>
        <row r="63">
          <cell r="C63">
            <v>72.7</v>
          </cell>
          <cell r="E63">
            <v>0</v>
          </cell>
        </row>
        <row r="64">
          <cell r="C64">
            <v>80.099999999999994</v>
          </cell>
          <cell r="E64">
            <v>0</v>
          </cell>
        </row>
        <row r="70">
          <cell r="C70">
            <v>4806.666666666667</v>
          </cell>
        </row>
      </sheetData>
      <sheetData sheetId="5"/>
      <sheetData sheetId="6">
        <row r="4">
          <cell r="R4">
            <v>1.0549999999999999</v>
          </cell>
        </row>
        <row r="5">
          <cell r="K5">
            <v>0.85</v>
          </cell>
          <cell r="R5">
            <v>453.6</v>
          </cell>
        </row>
        <row r="6">
          <cell r="R6">
            <v>56</v>
          </cell>
        </row>
        <row r="7">
          <cell r="R7">
            <v>60</v>
          </cell>
        </row>
      </sheetData>
      <sheetData sheetId="7">
        <row r="8">
          <cell r="B8" t="str">
            <v>Ethanol</v>
          </cell>
          <cell r="C8">
            <v>2.7</v>
          </cell>
          <cell r="D8">
            <v>76000</v>
          </cell>
          <cell r="E8">
            <v>49733</v>
          </cell>
        </row>
        <row r="11">
          <cell r="B11" t="str">
            <v>Biodiesel</v>
          </cell>
          <cell r="C11">
            <v>1.36</v>
          </cell>
          <cell r="D11">
            <v>121148</v>
          </cell>
          <cell r="E11">
            <v>25696</v>
          </cell>
        </row>
      </sheetData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V67"/>
  <sheetViews>
    <sheetView tabSelected="1" workbookViewId="0">
      <selection sqref="A1:XFD1048576"/>
    </sheetView>
  </sheetViews>
  <sheetFormatPr defaultColWidth="11.42578125" defaultRowHeight="15"/>
  <cols>
    <col min="1" max="1" width="2.28515625" customWidth="1"/>
    <col min="2" max="2" width="22.42578125" customWidth="1"/>
    <col min="3" max="3" width="10.140625" customWidth="1"/>
    <col min="4" max="5" width="10.28515625" customWidth="1"/>
    <col min="6" max="6" width="0.28515625" customWidth="1"/>
    <col min="7" max="9" width="11.28515625" customWidth="1"/>
    <col min="10" max="10" width="0.28515625" customWidth="1"/>
    <col min="11" max="14" width="11.28515625" customWidth="1"/>
    <col min="15" max="15" width="0.28515625" customWidth="1"/>
    <col min="16" max="16" width="8.140625" customWidth="1"/>
    <col min="17" max="17" width="12.42578125" customWidth="1"/>
    <col min="18" max="19" width="11.28515625" customWidth="1"/>
    <col min="20" max="20" width="11.7109375" customWidth="1"/>
    <col min="21" max="21" width="10.42578125" customWidth="1"/>
    <col min="22" max="22" width="11.28515625" customWidth="1"/>
  </cols>
  <sheetData>
    <row r="1" spans="2:22" ht="10.5" customHeight="1" thickBot="1">
      <c r="D1" s="1"/>
      <c r="E1" s="2"/>
      <c r="F1" s="2"/>
      <c r="G1" s="3"/>
      <c r="H1" s="2"/>
      <c r="I1" s="4"/>
      <c r="J1" s="4"/>
      <c r="K1" s="5"/>
      <c r="L1" s="6"/>
      <c r="M1" s="5"/>
      <c r="N1" s="4"/>
      <c r="O1" s="4"/>
      <c r="P1" s="2"/>
      <c r="Q1" s="7"/>
      <c r="R1" s="2"/>
    </row>
    <row r="2" spans="2:22" ht="35.25" customHeight="1" thickBot="1">
      <c r="B2" s="8" t="s">
        <v>0</v>
      </c>
      <c r="C2" s="9"/>
      <c r="D2" s="9"/>
      <c r="E2" s="10"/>
      <c r="F2" s="11"/>
      <c r="G2" s="12" t="s">
        <v>1</v>
      </c>
      <c r="H2" s="9"/>
      <c r="I2" s="10"/>
      <c r="J2" s="11"/>
      <c r="K2" s="12" t="s">
        <v>2</v>
      </c>
      <c r="L2" s="9"/>
      <c r="M2" s="9"/>
      <c r="N2" s="10"/>
      <c r="O2" s="11"/>
      <c r="P2" s="12" t="s">
        <v>3</v>
      </c>
      <c r="Q2" s="9"/>
      <c r="R2" s="9"/>
      <c r="S2" s="9"/>
      <c r="T2" s="9"/>
      <c r="U2" s="9"/>
      <c r="V2" s="13"/>
    </row>
    <row r="3" spans="2:22" ht="15" customHeight="1">
      <c r="B3" s="14" t="s">
        <v>4</v>
      </c>
      <c r="C3" s="15" t="s">
        <v>5</v>
      </c>
      <c r="D3" s="15" t="s">
        <v>6</v>
      </c>
      <c r="E3" s="15" t="s">
        <v>7</v>
      </c>
      <c r="F3" s="16"/>
      <c r="G3" s="17" t="s">
        <v>8</v>
      </c>
      <c r="H3" s="18"/>
      <c r="I3" s="18"/>
      <c r="J3" s="16"/>
      <c r="K3" s="19" t="s">
        <v>9</v>
      </c>
      <c r="L3" s="20" t="s">
        <v>10</v>
      </c>
      <c r="M3" s="21"/>
      <c r="N3" s="22"/>
      <c r="O3" s="16"/>
      <c r="P3" s="20" t="s">
        <v>11</v>
      </c>
      <c r="Q3" s="21"/>
      <c r="R3" s="22"/>
      <c r="S3" s="23" t="s">
        <v>12</v>
      </c>
      <c r="T3" s="24"/>
      <c r="U3" s="23" t="s">
        <v>13</v>
      </c>
      <c r="V3" s="25"/>
    </row>
    <row r="4" spans="2:22" ht="15" customHeight="1">
      <c r="B4" s="26"/>
      <c r="C4" s="27"/>
      <c r="D4" s="27"/>
      <c r="E4" s="28"/>
      <c r="F4" s="29"/>
      <c r="G4" s="30"/>
      <c r="H4" s="30"/>
      <c r="I4" s="30"/>
      <c r="J4" s="29"/>
      <c r="K4" s="24"/>
      <c r="L4" s="31"/>
      <c r="M4" s="32"/>
      <c r="N4" s="33"/>
      <c r="O4" s="29"/>
      <c r="P4" s="31"/>
      <c r="Q4" s="32"/>
      <c r="R4" s="33"/>
      <c r="S4" s="31"/>
      <c r="T4" s="33"/>
      <c r="U4" s="31"/>
      <c r="V4" s="34"/>
    </row>
    <row r="5" spans="2:22" ht="15" customHeight="1" thickBot="1">
      <c r="B5" s="35"/>
      <c r="C5" s="36"/>
      <c r="D5" s="36"/>
      <c r="E5" s="37"/>
      <c r="F5" s="38"/>
      <c r="G5" s="39" t="s">
        <v>14</v>
      </c>
      <c r="H5" s="40" t="s">
        <v>15</v>
      </c>
      <c r="I5" s="41" t="s">
        <v>16</v>
      </c>
      <c r="J5" s="38"/>
      <c r="K5" s="42"/>
      <c r="L5" s="43" t="s">
        <v>17</v>
      </c>
      <c r="M5" s="44" t="s">
        <v>18</v>
      </c>
      <c r="N5" s="45" t="s">
        <v>19</v>
      </c>
      <c r="O5" s="38"/>
      <c r="P5" s="46" t="s">
        <v>20</v>
      </c>
      <c r="Q5" s="39" t="s">
        <v>21</v>
      </c>
      <c r="R5" s="47" t="s">
        <v>22</v>
      </c>
      <c r="S5" s="48" t="s">
        <v>23</v>
      </c>
      <c r="T5" s="44" t="s">
        <v>24</v>
      </c>
      <c r="U5" s="41" t="s">
        <v>23</v>
      </c>
      <c r="V5" s="49" t="s">
        <v>24</v>
      </c>
    </row>
    <row r="6" spans="2:22" ht="12.75" customHeight="1">
      <c r="B6" s="50"/>
      <c r="C6" s="51"/>
      <c r="D6" s="51"/>
      <c r="E6" s="51"/>
      <c r="F6" s="52"/>
      <c r="G6" s="53"/>
      <c r="H6" s="54"/>
      <c r="I6" s="54"/>
      <c r="J6" s="52"/>
      <c r="K6" s="55"/>
      <c r="L6" s="53"/>
      <c r="M6" s="51"/>
      <c r="N6" s="56"/>
      <c r="O6" s="52"/>
      <c r="P6" s="55"/>
      <c r="Q6" s="53"/>
      <c r="R6" s="51"/>
      <c r="S6" s="53"/>
      <c r="T6" s="51"/>
      <c r="U6" s="54"/>
      <c r="V6" s="57"/>
    </row>
    <row r="7" spans="2:22" ht="20.100000000000001" customHeight="1" thickBot="1">
      <c r="B7" s="58" t="s">
        <v>25</v>
      </c>
      <c r="C7" s="59"/>
      <c r="D7" s="59"/>
      <c r="E7" s="60"/>
      <c r="F7" s="60"/>
      <c r="G7" s="61"/>
      <c r="H7" s="61"/>
      <c r="I7" s="62"/>
      <c r="J7" s="60"/>
      <c r="K7" s="61"/>
      <c r="L7" s="63"/>
      <c r="M7" s="64"/>
      <c r="N7" s="65"/>
      <c r="O7" s="60"/>
      <c r="P7" s="61"/>
      <c r="Q7" s="63"/>
      <c r="R7" s="64"/>
      <c r="S7" s="63"/>
      <c r="T7" s="64"/>
      <c r="U7" s="62"/>
      <c r="V7" s="66"/>
    </row>
    <row r="8" spans="2:22" ht="15" customHeight="1" thickTop="1">
      <c r="B8" s="67" t="s">
        <v>26</v>
      </c>
      <c r="C8" s="68">
        <v>1</v>
      </c>
      <c r="D8" s="69">
        <f>'[1]Yield Summary'!C7</f>
        <v>162.4</v>
      </c>
      <c r="E8" s="70">
        <f>D8*C8</f>
        <v>162.4</v>
      </c>
      <c r="F8" s="71"/>
      <c r="G8" s="72">
        <f>('[1]Field Operations'!G$13+'[1]Field Operations'!G$19)*C8</f>
        <v>3896400</v>
      </c>
      <c r="H8" s="73">
        <f>'[1]Field Operations'!G$26*C8+'[1]Yield Summary'!E7</f>
        <v>200420</v>
      </c>
      <c r="I8" s="74">
        <f>G8+H8</f>
        <v>4096820</v>
      </c>
      <c r="J8" s="71"/>
      <c r="K8" s="75"/>
      <c r="L8" s="74">
        <f>E8*'[1]Energy Values'!C$8*'[1]Energy Values'!E$8</f>
        <v>21806925.84</v>
      </c>
      <c r="M8" s="73">
        <f>E8*'[1]Energy Values'!C$8*'[1]Energy Values'!D$8</f>
        <v>33324480</v>
      </c>
      <c r="N8" s="76">
        <f>M8-L8</f>
        <v>11517554.16</v>
      </c>
      <c r="O8" s="71"/>
      <c r="P8" s="75"/>
      <c r="Q8" s="74">
        <f>P11/'[1]References &amp; Conversions'!R$4*'[1]References &amp; Conversions'!R$5*'[1]References &amp; Conversions'!R$6*'[1]References &amp; Conversions'!K$5</f>
        <v>359583.12341232231</v>
      </c>
      <c r="R8" s="73">
        <f>Q8*E8</f>
        <v>58396299.242161147</v>
      </c>
      <c r="S8" s="73">
        <f>N8-I8</f>
        <v>7420734.1600000001</v>
      </c>
      <c r="T8" s="72">
        <f>R8-I8</f>
        <v>54299479.242161147</v>
      </c>
      <c r="U8" s="77">
        <f>M8/(I8+L8)</f>
        <v>1.2864734006361762</v>
      </c>
      <c r="V8" s="78">
        <f>R8/I8</f>
        <v>14.254055399593135</v>
      </c>
    </row>
    <row r="9" spans="2:22" ht="12.75" customHeight="1">
      <c r="B9" s="79"/>
      <c r="C9" s="68">
        <v>1</v>
      </c>
      <c r="D9" s="69">
        <f>'[1]Yield Summary'!C8</f>
        <v>176.9</v>
      </c>
      <c r="E9" s="70">
        <f>D9*C9</f>
        <v>176.9</v>
      </c>
      <c r="F9" s="71"/>
      <c r="G9" s="72">
        <f>('[1]Field Operations'!G$13+'[1]Field Operations'!G$19)*C9</f>
        <v>3896400</v>
      </c>
      <c r="H9" s="73">
        <f>'[1]Field Operations'!G$26*C9+'[1]Yield Summary'!E8</f>
        <v>197200</v>
      </c>
      <c r="I9" s="74">
        <f>G9+H9</f>
        <v>4093600</v>
      </c>
      <c r="J9" s="71"/>
      <c r="K9" s="75"/>
      <c r="L9" s="74">
        <f>E9*'[1]Energy Values'!C$8*'[1]Energy Values'!E$8</f>
        <v>23753972.790000003</v>
      </c>
      <c r="M9" s="73">
        <f>E9*'[1]Energy Values'!C$8*'[1]Energy Values'!D$8</f>
        <v>36299880.000000007</v>
      </c>
      <c r="N9" s="76">
        <f>M9-L9</f>
        <v>12545907.210000005</v>
      </c>
      <c r="O9" s="71"/>
      <c r="P9" s="75"/>
      <c r="Q9" s="74">
        <f>P11/'[1]References &amp; Conversions'!R$4*'[1]References &amp; Conversions'!R$5*'[1]References &amp; Conversions'!R$6*'[1]References &amp; Conversions'!K$5</f>
        <v>359583.12341232231</v>
      </c>
      <c r="R9" s="73">
        <f>Q9*E9</f>
        <v>63610254.531639822</v>
      </c>
      <c r="S9" s="73">
        <f>N9-I9</f>
        <v>8452307.2100000046</v>
      </c>
      <c r="T9" s="72">
        <f>R9-I9</f>
        <v>59516654.531639822</v>
      </c>
      <c r="U9" s="77">
        <f>M9/(I9+L9)</f>
        <v>1.3035204279288286</v>
      </c>
      <c r="V9" s="78">
        <f>R9/I9</f>
        <v>15.538952152540508</v>
      </c>
    </row>
    <row r="10" spans="2:22" ht="12.75" customHeight="1">
      <c r="B10" s="79"/>
      <c r="C10" s="68">
        <v>1</v>
      </c>
      <c r="D10" s="69">
        <f>'[1]Yield Summary'!C9</f>
        <v>169</v>
      </c>
      <c r="E10" s="69">
        <f>D10*C10</f>
        <v>169</v>
      </c>
      <c r="F10" s="71"/>
      <c r="G10" s="80">
        <f>('[1]Field Operations'!G$13+'[1]Field Operations'!G$19)*C10</f>
        <v>3896400</v>
      </c>
      <c r="H10" s="73">
        <f>'[1]Field Operations'!G$26*C10+'[1]Yield Summary'!E9</f>
        <v>197200</v>
      </c>
      <c r="I10" s="81">
        <f>G10+H10</f>
        <v>4093600</v>
      </c>
      <c r="J10" s="71"/>
      <c r="K10" s="82"/>
      <c r="L10" s="80">
        <f>E10*'[1]Energy Values'!C$8*'[1]Energy Values'!E$8</f>
        <v>22693167.900000002</v>
      </c>
      <c r="M10" s="83">
        <f>E10*'[1]Energy Values'!C$8*'[1]Energy Values'!D$8</f>
        <v>34678800</v>
      </c>
      <c r="N10" s="80">
        <f>M10-L10</f>
        <v>11985632.099999998</v>
      </c>
      <c r="O10" s="71"/>
      <c r="P10" s="82"/>
      <c r="Q10" s="74">
        <f>P11/'[1]References &amp; Conversions'!R$4*'[1]References &amp; Conversions'!R$5*'[1]References &amp; Conversions'!R$6*'[1]References &amp; Conversions'!K$5</f>
        <v>359583.12341232231</v>
      </c>
      <c r="R10" s="83">
        <f>Q10*E10</f>
        <v>60769547.856682472</v>
      </c>
      <c r="S10" s="80">
        <f>N10-I10</f>
        <v>7892032.0999999978</v>
      </c>
      <c r="T10" s="83">
        <f>R10-I10</f>
        <v>56675947.856682472</v>
      </c>
      <c r="U10" s="77">
        <f>M10/(I10+L10)</f>
        <v>1.2946242760404101</v>
      </c>
      <c r="V10" s="78">
        <f>R10/I10</f>
        <v>14.845013644880416</v>
      </c>
    </row>
    <row r="11" spans="2:22" ht="12.75" customHeight="1">
      <c r="B11" s="84" t="s">
        <v>27</v>
      </c>
      <c r="C11" s="85"/>
      <c r="D11" s="86"/>
      <c r="E11" s="87">
        <f>AVERAGE(E8:E10)</f>
        <v>169.43333333333334</v>
      </c>
      <c r="F11" s="88"/>
      <c r="G11" s="89">
        <f>AVERAGE(G8:G10)</f>
        <v>3896400</v>
      </c>
      <c r="H11" s="90">
        <f>AVERAGE(H8:H10)</f>
        <v>198273.33333333334</v>
      </c>
      <c r="I11" s="91">
        <f>AVERAGE(I8:I10)</f>
        <v>4094673.3333333335</v>
      </c>
      <c r="J11" s="87"/>
      <c r="K11" s="92" t="str">
        <f>'[1]Energy Values'!B$8</f>
        <v>Ethanol</v>
      </c>
      <c r="L11" s="90">
        <f>AVERAGE(L8:L10)</f>
        <v>22751355.510000002</v>
      </c>
      <c r="M11" s="90">
        <f>AVERAGE(M8:M10)</f>
        <v>34767720</v>
      </c>
      <c r="N11" s="91">
        <f>AVERAGE(N8:N10)</f>
        <v>12016364.49</v>
      </c>
      <c r="O11" s="88"/>
      <c r="P11" s="92">
        <v>17.57</v>
      </c>
      <c r="Q11" s="90">
        <f t="shared" ref="Q11:V11" si="0">AVERAGE(Q8:Q10)</f>
        <v>359583.12341232231</v>
      </c>
      <c r="R11" s="90">
        <f t="shared" si="0"/>
        <v>60925367.21016115</v>
      </c>
      <c r="S11" s="90">
        <f t="shared" si="0"/>
        <v>7921691.1566666672</v>
      </c>
      <c r="T11" s="90">
        <f t="shared" si="0"/>
        <v>56830693.876827814</v>
      </c>
      <c r="U11" s="93">
        <f t="shared" si="0"/>
        <v>1.2948727015351382</v>
      </c>
      <c r="V11" s="94">
        <f t="shared" si="0"/>
        <v>14.879340399004688</v>
      </c>
    </row>
    <row r="12" spans="2:22" ht="12.75" customHeight="1">
      <c r="B12" s="95"/>
      <c r="C12" s="96"/>
      <c r="D12" s="97"/>
      <c r="E12" s="98"/>
      <c r="F12" s="99"/>
      <c r="G12" s="75"/>
      <c r="H12" s="100"/>
      <c r="I12" s="75"/>
      <c r="J12" s="99"/>
      <c r="K12" s="82"/>
      <c r="L12" s="75"/>
      <c r="M12" s="100"/>
      <c r="N12" s="101"/>
      <c r="O12" s="99"/>
      <c r="P12" s="82"/>
      <c r="Q12" s="75"/>
      <c r="R12" s="100"/>
      <c r="S12" s="75"/>
      <c r="T12" s="100"/>
      <c r="U12" s="102"/>
      <c r="V12" s="103"/>
    </row>
    <row r="13" spans="2:22" ht="12.75" customHeight="1">
      <c r="B13" s="104" t="s">
        <v>28</v>
      </c>
      <c r="C13" s="105"/>
      <c r="D13" s="106"/>
      <c r="E13" s="98"/>
      <c r="F13" s="99"/>
      <c r="G13" s="75"/>
      <c r="H13" s="100"/>
      <c r="I13" s="75"/>
      <c r="J13" s="99"/>
      <c r="K13" s="82"/>
      <c r="L13" s="75"/>
      <c r="M13" s="100"/>
      <c r="N13" s="101"/>
      <c r="O13" s="99"/>
      <c r="P13" s="82"/>
      <c r="Q13" s="75"/>
      <c r="R13" s="100"/>
      <c r="S13" s="75"/>
      <c r="T13" s="100"/>
      <c r="U13" s="102"/>
      <c r="V13" s="103"/>
    </row>
    <row r="14" spans="2:22" ht="12.75" customHeight="1">
      <c r="B14" s="107" t="s">
        <v>29</v>
      </c>
      <c r="C14" s="108">
        <v>0.33333000000000002</v>
      </c>
      <c r="D14" s="109">
        <f>'[1]Yield Summary'!C13</f>
        <v>163.69999999999999</v>
      </c>
      <c r="E14" s="110">
        <f>D14*C14</f>
        <v>54.566120999999995</v>
      </c>
      <c r="F14" s="71"/>
      <c r="G14" s="72">
        <f>('[1]Field Operations'!O$13+'[1]Field Operations'!O$19)*C14</f>
        <v>122398.77600000001</v>
      </c>
      <c r="H14" s="72">
        <f>'[1]Field Operations'!O$26*C14+'[1]Yield Summary'!E13</f>
        <v>65732.676000000007</v>
      </c>
      <c r="I14" s="74">
        <f>G14+H14</f>
        <v>188131.45200000002</v>
      </c>
      <c r="J14" s="71"/>
      <c r="K14" s="82"/>
      <c r="L14" s="74">
        <f>E14*'[1]Energy Values'!C$8*'[1]Energy Values'!E$8</f>
        <v>7327089.6183711002</v>
      </c>
      <c r="M14" s="73">
        <f>E14*'[1]Energy Values'!C$8*'[1]Energy Values'!D$8</f>
        <v>11196968.029200001</v>
      </c>
      <c r="N14" s="76">
        <f>M14-L14</f>
        <v>3869878.4108289005</v>
      </c>
      <c r="O14" s="71"/>
      <c r="P14" s="82"/>
      <c r="Q14" s="74">
        <f>P17/'[1]References &amp; Conversions'!R$4*'[1]References &amp; Conversions'!R$5*'[1]References &amp; Conversions'!R$6*'[1]References &amp; Conversions'!K$5</f>
        <v>359583.12341232231</v>
      </c>
      <c r="R14" s="73">
        <f>Q14*E14</f>
        <v>19621056.221674711</v>
      </c>
      <c r="S14" s="73">
        <f>N14-I14</f>
        <v>3681746.9588289005</v>
      </c>
      <c r="T14" s="72">
        <f>R14-I14</f>
        <v>19432924.769674711</v>
      </c>
      <c r="U14" s="77">
        <f>M14/(I14+L14)</f>
        <v>1.4899053433496796</v>
      </c>
      <c r="V14" s="78">
        <f>R14/I14</f>
        <v>104.29439635470793</v>
      </c>
    </row>
    <row r="15" spans="2:22" ht="12.75" customHeight="1">
      <c r="B15" s="95"/>
      <c r="C15" s="108">
        <v>0.33333000000000002</v>
      </c>
      <c r="D15" s="109">
        <f>'[1]Yield Summary'!C14</f>
        <v>144.5</v>
      </c>
      <c r="E15" s="110">
        <f>D15*C15</f>
        <v>48.166184999999999</v>
      </c>
      <c r="F15" s="71"/>
      <c r="G15" s="72">
        <f>('[1]Field Operations'!O$13+'[1]Field Operations'!O$19)*C15</f>
        <v>122398.77600000001</v>
      </c>
      <c r="H15" s="72">
        <f>'[1]Field Operations'!O$26*C15+'[1]Yield Summary'!E14</f>
        <v>65732.676000000007</v>
      </c>
      <c r="I15" s="74">
        <f>G15+H15</f>
        <v>188131.45200000002</v>
      </c>
      <c r="J15" s="71"/>
      <c r="K15" s="82"/>
      <c r="L15" s="74">
        <f>E15*'[1]Energy Values'!C$8*'[1]Energy Values'!E$8</f>
        <v>6467711.9722335003</v>
      </c>
      <c r="M15" s="73">
        <f>E15*'[1]Energy Values'!C$8*'[1]Energy Values'!D$8</f>
        <v>9883701.1620000005</v>
      </c>
      <c r="N15" s="76">
        <f>M15-L15</f>
        <v>3415989.1897665001</v>
      </c>
      <c r="O15" s="71"/>
      <c r="P15" s="82"/>
      <c r="Q15" s="74">
        <f>P17/'[1]References &amp; Conversions'!R$4*'[1]References &amp; Conversions'!R$5*'[1]References &amp; Conversions'!R$6*'[1]References &amp; Conversions'!K$5</f>
        <v>359583.12341232231</v>
      </c>
      <c r="R15" s="73">
        <f>Q15*E15</f>
        <v>17319747.245155748</v>
      </c>
      <c r="S15" s="73">
        <f>N15-I15</f>
        <v>3227857.7377665001</v>
      </c>
      <c r="T15" s="72">
        <f>R15-I15</f>
        <v>17131615.793155748</v>
      </c>
      <c r="U15" s="77">
        <f>M15/(I15+L15)</f>
        <v>1.4849659963475219</v>
      </c>
      <c r="V15" s="78">
        <f>R15/I15</f>
        <v>92.061944247130711</v>
      </c>
    </row>
    <row r="16" spans="2:22" ht="12.75" customHeight="1">
      <c r="B16" s="95"/>
      <c r="C16" s="108">
        <v>0.33333000000000002</v>
      </c>
      <c r="D16" s="109">
        <f>'[1]Yield Summary'!C15</f>
        <v>131.6</v>
      </c>
      <c r="E16" s="111">
        <f>D16*C16</f>
        <v>43.866228</v>
      </c>
      <c r="F16" s="71"/>
      <c r="G16" s="80">
        <f>('[1]Field Operations'!O$13+'[1]Field Operations'!O$19)*C16</f>
        <v>122398.77600000001</v>
      </c>
      <c r="H16" s="83">
        <f>'[1]Field Operations'!O$26*C16+'[1]Yield Summary'!E15</f>
        <v>65732.676000000007</v>
      </c>
      <c r="I16" s="81">
        <f>G16+H16</f>
        <v>188131.45200000002</v>
      </c>
      <c r="J16" s="71"/>
      <c r="K16" s="112"/>
      <c r="L16" s="80">
        <f>E16*'[1]Energy Values'!C$8*'[1]Energy Values'!E$8</f>
        <v>5890317.6162348008</v>
      </c>
      <c r="M16" s="83">
        <f>E16*'[1]Energy Values'!C$8*'[1]Energy Values'!D$8</f>
        <v>9001349.9856000002</v>
      </c>
      <c r="N16" s="80">
        <f>M16-L16</f>
        <v>3111032.3693651995</v>
      </c>
      <c r="O16" s="71"/>
      <c r="P16" s="112"/>
      <c r="Q16" s="74">
        <f>P17/'[1]References &amp; Conversions'!R$4*'[1]References &amp; Conversions'!R$5*'[1]References &amp; Conversions'!R$6*'[1]References &amp; Conversions'!K$5</f>
        <v>359583.12341232231</v>
      </c>
      <c r="R16" s="83">
        <f>Q16*E16</f>
        <v>15773555.276557069</v>
      </c>
      <c r="S16" s="80">
        <f>N16-I16</f>
        <v>2922900.9173651994</v>
      </c>
      <c r="T16" s="83">
        <f>R16-I16</f>
        <v>15585423.82455707</v>
      </c>
      <c r="U16" s="77">
        <f>M16/(I16+L16)</f>
        <v>1.4808629445691841</v>
      </c>
      <c r="V16" s="78">
        <f>R16/I16</f>
        <v>83.843265487352255</v>
      </c>
    </row>
    <row r="17" spans="2:22" ht="12.75" customHeight="1">
      <c r="B17" s="113" t="s">
        <v>30</v>
      </c>
      <c r="C17" s="114"/>
      <c r="D17" s="115"/>
      <c r="E17" s="115">
        <f>AVERAGE(E14:E16)</f>
        <v>48.866177999999998</v>
      </c>
      <c r="F17" s="88"/>
      <c r="G17" s="116">
        <f>AVERAGE(G14:G16)</f>
        <v>122398.77600000001</v>
      </c>
      <c r="H17" s="117">
        <f>AVERAGE(H14:H16)</f>
        <v>65732.676000000007</v>
      </c>
      <c r="I17" s="118">
        <f>AVERAGE(I14:I16)</f>
        <v>188131.45200000002</v>
      </c>
      <c r="J17" s="88"/>
      <c r="K17" s="119" t="str">
        <f>'[1]Energy Values'!B$8</f>
        <v>Ethanol</v>
      </c>
      <c r="L17" s="117">
        <f>AVERAGE(L14:L16)</f>
        <v>6561706.4022798007</v>
      </c>
      <c r="M17" s="117">
        <f>AVERAGE(M14:M16)</f>
        <v>10027339.725600002</v>
      </c>
      <c r="N17" s="118">
        <f>AVERAGE(N14:N16)</f>
        <v>3465633.3233202002</v>
      </c>
      <c r="O17" s="88"/>
      <c r="P17" s="119">
        <v>17.57</v>
      </c>
      <c r="Q17" s="117">
        <f t="shared" ref="Q17:V17" si="1">AVERAGE(Q14:Q16)</f>
        <v>359583.12341232231</v>
      </c>
      <c r="R17" s="117">
        <f t="shared" si="1"/>
        <v>17571452.91446251</v>
      </c>
      <c r="S17" s="117">
        <f t="shared" si="1"/>
        <v>3277501.8713201997</v>
      </c>
      <c r="T17" s="117">
        <f t="shared" si="1"/>
        <v>17383321.462462511</v>
      </c>
      <c r="U17" s="120">
        <f t="shared" si="1"/>
        <v>1.4852447614221285</v>
      </c>
      <c r="V17" s="121">
        <f t="shared" si="1"/>
        <v>93.39986869639695</v>
      </c>
    </row>
    <row r="18" spans="2:22" ht="12.75" customHeight="1">
      <c r="B18" s="95"/>
      <c r="C18" s="108"/>
      <c r="D18" s="122"/>
      <c r="E18" s="98"/>
      <c r="F18" s="99"/>
      <c r="G18" s="75"/>
      <c r="H18" s="100"/>
      <c r="I18" s="75"/>
      <c r="J18" s="99"/>
      <c r="K18" s="82"/>
      <c r="L18" s="75"/>
      <c r="M18" s="100"/>
      <c r="N18" s="75"/>
      <c r="O18" s="99"/>
      <c r="P18" s="82"/>
      <c r="Q18" s="75"/>
      <c r="R18" s="100"/>
      <c r="S18" s="75"/>
      <c r="T18" s="100"/>
      <c r="U18" s="102"/>
      <c r="V18" s="103"/>
    </row>
    <row r="19" spans="2:22" ht="12.75" customHeight="1">
      <c r="B19" s="107" t="s">
        <v>31</v>
      </c>
      <c r="C19" s="108">
        <v>0.33333000000000002</v>
      </c>
      <c r="D19" s="123">
        <f>'[1]Yield Summary'!C18</f>
        <v>71.7</v>
      </c>
      <c r="E19" s="70">
        <f>D19*C19</f>
        <v>23.899761000000002</v>
      </c>
      <c r="F19" s="71"/>
      <c r="G19" s="72">
        <f>('[1]Field Operations'!V$13+'[1]Field Operations'!V$19)*C19</f>
        <v>122398.77600000001</v>
      </c>
      <c r="H19" s="73">
        <f>('[1]Field Operations'!V$26)*C19+'[1]Yield Summary'!E18</f>
        <v>48672.880000000005</v>
      </c>
      <c r="I19" s="76">
        <f>G19+H19</f>
        <v>171071.65600000002</v>
      </c>
      <c r="J19" s="71"/>
      <c r="K19" s="82"/>
      <c r="L19" s="74">
        <f>E19*'[1]Energy Values'!C$11*'[1]Energy Values'!E$11</f>
        <v>835214.43177216011</v>
      </c>
      <c r="M19" s="73">
        <f>E19*'[1]Energy Values'!C$11*'[1]Energy Values'!D$11</f>
        <v>3937755.2140540807</v>
      </c>
      <c r="N19" s="76">
        <f>M19-L19</f>
        <v>3102540.7822819203</v>
      </c>
      <c r="O19" s="71"/>
      <c r="P19" s="82"/>
      <c r="Q19" s="74">
        <f>P22/'[1]References &amp; Conversions'!R$4*'[1]References &amp; Conversions'!R$5*'[1]References &amp; Conversions'!R$7*'[1]References &amp; Conversions'!K$5</f>
        <v>487888.72037914698</v>
      </c>
      <c r="R19" s="73">
        <f>Q19*E19</f>
        <v>11660423.811657444</v>
      </c>
      <c r="S19" s="73">
        <f>N19-I19</f>
        <v>2931469.1262819204</v>
      </c>
      <c r="T19" s="72">
        <f>R19-I19</f>
        <v>11489352.155657444</v>
      </c>
      <c r="U19" s="77">
        <f>M19/(I19+L19)</f>
        <v>3.9131567671495562</v>
      </c>
      <c r="V19" s="78">
        <f>R19/I19</f>
        <v>68.161050663222909</v>
      </c>
    </row>
    <row r="20" spans="2:22" ht="12.75" customHeight="1">
      <c r="B20" s="107"/>
      <c r="C20" s="108">
        <v>0.33333000000000002</v>
      </c>
      <c r="D20" s="123">
        <f>'[1]Yield Summary'!C19</f>
        <v>69.599999999999994</v>
      </c>
      <c r="E20" s="70">
        <f>D20*C20</f>
        <v>23.199767999999999</v>
      </c>
      <c r="F20" s="71"/>
      <c r="G20" s="72">
        <f>('[1]Field Operations'!V$13+'[1]Field Operations'!V$19)*C20</f>
        <v>122398.77600000001</v>
      </c>
      <c r="H20" s="73">
        <f>('[1]Field Operations'!V$26)*C20+'[1]Yield Summary'!E19</f>
        <v>48832.880000000005</v>
      </c>
      <c r="I20" s="76">
        <f>G20+H20</f>
        <v>171231.65600000002</v>
      </c>
      <c r="J20" s="71"/>
      <c r="K20" s="82"/>
      <c r="L20" s="74">
        <f>E20*'[1]Energy Values'!C$11*'[1]Energy Values'!E$11</f>
        <v>810752.08439808001</v>
      </c>
      <c r="M20" s="73">
        <f>E20*'[1]Energy Values'!C$11*'[1]Energy Values'!D$11</f>
        <v>3822423.4713830403</v>
      </c>
      <c r="N20" s="76">
        <f>M20-L20</f>
        <v>3011671.3869849602</v>
      </c>
      <c r="O20" s="71"/>
      <c r="P20" s="82"/>
      <c r="Q20" s="74">
        <f>P22/'[1]References &amp; Conversions'!R$4*'[1]References &amp; Conversions'!R$5*'[1]References &amp; Conversions'!R$7*'[1]References &amp; Conversions'!K$5</f>
        <v>487888.72037914698</v>
      </c>
      <c r="R20" s="73">
        <f>Q20*E20</f>
        <v>11318905.122613082</v>
      </c>
      <c r="S20" s="73">
        <f>N20-I20</f>
        <v>2840439.7309849602</v>
      </c>
      <c r="T20" s="72">
        <f>R20-I20</f>
        <v>11147673.466613082</v>
      </c>
      <c r="U20" s="77">
        <f>M20/(I20+L20)</f>
        <v>3.8925527115484546</v>
      </c>
      <c r="V20" s="78">
        <f>R20/I20</f>
        <v>66.10287716082756</v>
      </c>
    </row>
    <row r="21" spans="2:22" ht="12.75" customHeight="1">
      <c r="B21" s="107"/>
      <c r="C21" s="108">
        <v>0.33333000000000002</v>
      </c>
      <c r="D21" s="123">
        <f>'[1]Yield Summary'!C20</f>
        <v>68.8</v>
      </c>
      <c r="E21" s="124">
        <f>D21*C21</f>
        <v>22.933104</v>
      </c>
      <c r="F21" s="125"/>
      <c r="G21" s="126">
        <f>('[1]Field Operations'!V$13+'[1]Field Operations'!V$19)*C21</f>
        <v>122398.77600000001</v>
      </c>
      <c r="H21" s="73">
        <f>('[1]Field Operations'!V$26)*C21+'[1]Yield Summary'!E20</f>
        <v>48832.880000000005</v>
      </c>
      <c r="I21" s="80">
        <f>G21+H21</f>
        <v>171231.65600000002</v>
      </c>
      <c r="J21" s="125"/>
      <c r="K21" s="112"/>
      <c r="L21" s="74">
        <f>E21*'[1]Energy Values'!C$11*'[1]Energy Values'!E$11</f>
        <v>801433.09492224001</v>
      </c>
      <c r="M21" s="73">
        <f>E21*'[1]Energy Values'!C$11*'[1]Energy Values'!D$11</f>
        <v>3778487.5694131199</v>
      </c>
      <c r="N21" s="80">
        <f>M21-L21</f>
        <v>2977054.47449088</v>
      </c>
      <c r="O21" s="125"/>
      <c r="P21" s="112"/>
      <c r="Q21" s="74">
        <f>P22/'[1]References &amp; Conversions'!R$4*'[1]References &amp; Conversions'!R$5*'[1]References &amp; Conversions'!R$7*'[1]References &amp; Conversions'!K$5</f>
        <v>487888.72037914698</v>
      </c>
      <c r="R21" s="83">
        <f>Q21*E21</f>
        <v>11188802.764881898</v>
      </c>
      <c r="S21" s="80">
        <f>N21-I21</f>
        <v>2805822.8184908801</v>
      </c>
      <c r="T21" s="83">
        <f>R21-I21</f>
        <v>11017571.108881898</v>
      </c>
      <c r="U21" s="77">
        <f>M21/(I21+L21)</f>
        <v>3.8846761598284671</v>
      </c>
      <c r="V21" s="78">
        <f>R21/I21</f>
        <v>65.343073975070922</v>
      </c>
    </row>
    <row r="22" spans="2:22" ht="12.75" customHeight="1">
      <c r="B22" s="127" t="s">
        <v>32</v>
      </c>
      <c r="C22" s="128"/>
      <c r="D22" s="129"/>
      <c r="E22" s="130">
        <f>AVERAGE(E19:E21)</f>
        <v>23.344211000000001</v>
      </c>
      <c r="F22" s="131"/>
      <c r="G22" s="132">
        <f>AVERAGE(G19:G21)</f>
        <v>122398.77600000001</v>
      </c>
      <c r="H22" s="133">
        <f>AVERAGE(H19:H21)</f>
        <v>48779.546666666669</v>
      </c>
      <c r="I22" s="134">
        <f>AVERAGE(I19:I21)</f>
        <v>171178.32266666667</v>
      </c>
      <c r="J22" s="131"/>
      <c r="K22" s="135" t="str">
        <f>'[1]Energy Values'!B$11</f>
        <v>Biodiesel</v>
      </c>
      <c r="L22" s="133">
        <f>AVERAGE(L19:L21)</f>
        <v>815799.87036415993</v>
      </c>
      <c r="M22" s="133">
        <f>AVERAGE(M19:M21)</f>
        <v>3846222.0849500801</v>
      </c>
      <c r="N22" s="134">
        <f>AVERAGE(N19:N21)</f>
        <v>3030422.2145859203</v>
      </c>
      <c r="O22" s="131"/>
      <c r="P22" s="136">
        <v>22.25</v>
      </c>
      <c r="Q22" s="133">
        <f t="shared" ref="Q22:V22" si="2">AVERAGE(Q19:Q21)</f>
        <v>487888.72037914698</v>
      </c>
      <c r="R22" s="133">
        <f t="shared" si="2"/>
        <v>11389377.233050808</v>
      </c>
      <c r="S22" s="133">
        <f t="shared" si="2"/>
        <v>2859243.8919192534</v>
      </c>
      <c r="T22" s="133">
        <f t="shared" si="2"/>
        <v>11218198.910384141</v>
      </c>
      <c r="U22" s="137">
        <f t="shared" si="2"/>
        <v>3.8967952128421595</v>
      </c>
      <c r="V22" s="138">
        <f t="shared" si="2"/>
        <v>66.535667266373807</v>
      </c>
    </row>
    <row r="23" spans="2:22" ht="12.75" customHeight="1">
      <c r="B23" s="95"/>
      <c r="C23" s="139"/>
      <c r="D23" s="140"/>
      <c r="E23" s="98"/>
      <c r="F23" s="99"/>
      <c r="G23" s="75"/>
      <c r="H23" s="100"/>
      <c r="I23" s="75"/>
      <c r="J23" s="99"/>
      <c r="K23" s="82"/>
      <c r="L23" s="75"/>
      <c r="M23" s="100"/>
      <c r="N23" s="75"/>
      <c r="O23" s="99"/>
      <c r="P23" s="82"/>
      <c r="Q23" s="75"/>
      <c r="R23" s="100"/>
      <c r="S23" s="75"/>
      <c r="T23" s="100"/>
      <c r="U23" s="102"/>
      <c r="V23" s="103"/>
    </row>
    <row r="24" spans="2:22" ht="12.75" customHeight="1">
      <c r="B24" s="141" t="s">
        <v>33</v>
      </c>
      <c r="C24" s="142">
        <v>0.33333299999999999</v>
      </c>
      <c r="D24" s="143">
        <f>'[1]Yield Summary'!C26/1.2</f>
        <v>1733.3333333333335</v>
      </c>
      <c r="E24" s="144">
        <f>D24*C24</f>
        <v>577.77719999999999</v>
      </c>
      <c r="F24" s="145"/>
      <c r="G24" s="146">
        <f>('[1]Field Operations'!AC$13+'[1]Field Operations'!AC$19)*C24</f>
        <v>38533.294799999996</v>
      </c>
      <c r="H24" s="147">
        <f>'[1]Field Operations'!AC$26*C24</f>
        <v>79333.254000000001</v>
      </c>
      <c r="I24" s="146">
        <f>G24+H24</f>
        <v>117866.54879999999</v>
      </c>
      <c r="J24" s="145"/>
      <c r="K24" s="148" t="s">
        <v>34</v>
      </c>
      <c r="L24" s="149"/>
      <c r="M24" s="150"/>
      <c r="N24" s="149"/>
      <c r="O24" s="145"/>
      <c r="P24" s="151">
        <v>16.47</v>
      </c>
      <c r="Q24" s="143">
        <f>P24/'[1]References &amp; Conversions'!R$4*'[1]References &amp; Conversions'!R$5*'[1]References &amp; Conversions'!K$5</f>
        <v>6019.1215165876783</v>
      </c>
      <c r="R24" s="152">
        <f>Q24*E24</f>
        <v>3477711.1763137821</v>
      </c>
      <c r="S24" s="153">
        <f>N24-I24</f>
        <v>-117866.54879999999</v>
      </c>
      <c r="T24" s="153">
        <f>R24-I24</f>
        <v>3359844.6275137821</v>
      </c>
      <c r="U24" s="154">
        <f>N24/I24</f>
        <v>0</v>
      </c>
      <c r="V24" s="155">
        <f>R24/I24</f>
        <v>29.505497630331757</v>
      </c>
    </row>
    <row r="25" spans="2:22" ht="12.75" customHeight="1">
      <c r="B25" s="107"/>
      <c r="C25" s="156"/>
      <c r="D25" s="157" t="s">
        <v>35</v>
      </c>
      <c r="E25" s="158" t="s">
        <v>36</v>
      </c>
      <c r="F25" s="71"/>
      <c r="G25" s="75"/>
      <c r="H25" s="100"/>
      <c r="I25" s="75"/>
      <c r="J25" s="71"/>
      <c r="K25" s="82"/>
      <c r="L25" s="75"/>
      <c r="M25" s="100"/>
      <c r="N25" s="75"/>
      <c r="O25" s="71"/>
      <c r="P25" s="75"/>
      <c r="Q25" s="159" t="s">
        <v>37</v>
      </c>
      <c r="R25" s="160" t="s">
        <v>38</v>
      </c>
      <c r="S25" s="75"/>
      <c r="T25" s="100"/>
      <c r="U25" s="102"/>
      <c r="V25" s="103"/>
    </row>
    <row r="26" spans="2:22" ht="12.75" customHeight="1">
      <c r="B26" s="161"/>
      <c r="C26" s="162"/>
      <c r="D26" s="163"/>
      <c r="E26" s="163"/>
      <c r="F26" s="164"/>
      <c r="G26" s="165"/>
      <c r="H26" s="166"/>
      <c r="I26" s="165"/>
      <c r="J26" s="164"/>
      <c r="K26" s="167"/>
      <c r="L26" s="165"/>
      <c r="M26" s="166"/>
      <c r="N26" s="165"/>
      <c r="O26" s="164"/>
      <c r="P26" s="167"/>
      <c r="Q26" s="165"/>
      <c r="R26" s="166"/>
      <c r="S26" s="165"/>
      <c r="T26" s="166"/>
      <c r="U26" s="168"/>
      <c r="V26" s="169"/>
    </row>
    <row r="27" spans="2:22" ht="20.100000000000001" customHeight="1" thickBot="1">
      <c r="B27" s="58" t="s">
        <v>39</v>
      </c>
      <c r="C27" s="170"/>
      <c r="D27" s="171"/>
      <c r="E27" s="172"/>
      <c r="F27" s="172"/>
      <c r="G27" s="63"/>
      <c r="H27" s="64"/>
      <c r="I27" s="63"/>
      <c r="J27" s="172"/>
      <c r="K27" s="61"/>
      <c r="L27" s="63"/>
      <c r="M27" s="64"/>
      <c r="N27" s="63"/>
      <c r="O27" s="172"/>
      <c r="P27" s="61"/>
      <c r="Q27" s="63"/>
      <c r="R27" s="64"/>
      <c r="S27" s="63"/>
      <c r="T27" s="64"/>
      <c r="U27" s="173"/>
      <c r="V27" s="174"/>
    </row>
    <row r="28" spans="2:22" ht="15" customHeight="1" thickTop="1">
      <c r="B28" s="79"/>
      <c r="C28" s="68">
        <v>1</v>
      </c>
      <c r="D28" s="109">
        <f>'[1]Yield Summary'!C29</f>
        <v>179.7</v>
      </c>
      <c r="E28" s="70">
        <f>D28*C28</f>
        <v>179.7</v>
      </c>
      <c r="F28" s="71"/>
      <c r="G28" s="72">
        <f>('[1]Field Operations'!G$37+'[1]Field Operations'!G$40)*C28</f>
        <v>3916800</v>
      </c>
      <c r="H28" s="73">
        <f>'[1]Field Operations'!G$50*C28+'[1]Yield Summary'!E29</f>
        <v>197200</v>
      </c>
      <c r="I28" s="74">
        <f>G28+H28</f>
        <v>4114000</v>
      </c>
      <c r="J28" s="71"/>
      <c r="K28" s="75"/>
      <c r="L28" s="74">
        <f>E28*'[1]Energy Values'!C$8*'[1]Energy Values'!E$8</f>
        <v>24129954.27</v>
      </c>
      <c r="M28" s="73">
        <f>E28*'[1]Energy Values'!C$8*'[1]Energy Values'!D$8</f>
        <v>36874440</v>
      </c>
      <c r="N28" s="76">
        <f>M28-L28</f>
        <v>12744485.73</v>
      </c>
      <c r="O28" s="71"/>
      <c r="P28" s="75"/>
      <c r="Q28" s="74">
        <f>P31/'[1]References &amp; Conversions'!R$4*'[1]References &amp; Conversions'!R$5*'[1]References &amp; Conversions'!R$6*'[1]References &amp; Conversions'!K$5</f>
        <v>359583.12341232231</v>
      </c>
      <c r="R28" s="73">
        <f>Q28*E28</f>
        <v>64617087.277194314</v>
      </c>
      <c r="S28" s="73">
        <f>N28-I28</f>
        <v>8630485.7300000004</v>
      </c>
      <c r="T28" s="72">
        <f>R28-I28</f>
        <v>60503087.277194314</v>
      </c>
      <c r="U28" s="77">
        <f>M28/(I28+L28)</f>
        <v>1.3055693139670277</v>
      </c>
      <c r="V28" s="78">
        <f>R28/I28</f>
        <v>15.706632784928127</v>
      </c>
    </row>
    <row r="29" spans="2:22" ht="12.75" customHeight="1">
      <c r="B29" s="79"/>
      <c r="C29" s="68">
        <v>1</v>
      </c>
      <c r="D29" s="109">
        <f>'[1]Yield Summary'!C30</f>
        <v>200.3</v>
      </c>
      <c r="E29" s="70">
        <f>D29*C29</f>
        <v>200.3</v>
      </c>
      <c r="F29" s="71"/>
      <c r="G29" s="72">
        <f>('[1]Field Operations'!G$37+'[1]Field Operations'!G$40)*C29</f>
        <v>3916800</v>
      </c>
      <c r="H29" s="73">
        <f>'[1]Field Operations'!G$50*C29+'[1]Yield Summary'!E30</f>
        <v>197200</v>
      </c>
      <c r="I29" s="74">
        <f>G29+H29</f>
        <v>4114000</v>
      </c>
      <c r="J29" s="71"/>
      <c r="K29" s="75"/>
      <c r="L29" s="74">
        <f>E29*'[1]Energy Values'!C$8*'[1]Energy Values'!E$8</f>
        <v>26896103.730000004</v>
      </c>
      <c r="M29" s="73">
        <f>E29*'[1]Energy Values'!C$8*'[1]Energy Values'!D$8</f>
        <v>41101560.000000007</v>
      </c>
      <c r="N29" s="76">
        <f>M29-L29</f>
        <v>14205456.270000003</v>
      </c>
      <c r="O29" s="71"/>
      <c r="P29" s="75"/>
      <c r="Q29" s="74">
        <f>P31/'[1]References &amp; Conversions'!R$4*'[1]References &amp; Conversions'!R$5*'[1]References &amp; Conversions'!R$6*'[1]References &amp; Conversions'!K$5</f>
        <v>359583.12341232231</v>
      </c>
      <c r="R29" s="73">
        <f>Q29*E29</f>
        <v>72024499.619488165</v>
      </c>
      <c r="S29" s="73">
        <f>N29-I29</f>
        <v>10091456.270000003</v>
      </c>
      <c r="T29" s="72">
        <f>R29-I29</f>
        <v>67910499.619488165</v>
      </c>
      <c r="U29" s="77">
        <f>M29/(I29+L29)</f>
        <v>1.3254247827696641</v>
      </c>
      <c r="V29" s="78">
        <f>R29/I29</f>
        <v>17.507170544357841</v>
      </c>
    </row>
    <row r="30" spans="2:22" ht="12.75" customHeight="1">
      <c r="B30" s="79"/>
      <c r="C30" s="68">
        <v>1</v>
      </c>
      <c r="D30" s="109">
        <f>'[1]Yield Summary'!C31</f>
        <v>195.5</v>
      </c>
      <c r="E30" s="70">
        <f>D30*C30</f>
        <v>195.5</v>
      </c>
      <c r="F30" s="71"/>
      <c r="G30" s="72">
        <f>('[1]Field Operations'!G$37+'[1]Field Operations'!G$40)*C30</f>
        <v>3916800</v>
      </c>
      <c r="H30" s="73">
        <f>'[1]Field Operations'!G$50*C30+'[1]Yield Summary'!E31</f>
        <v>197200</v>
      </c>
      <c r="I30" s="74">
        <f>G30+H30</f>
        <v>4114000</v>
      </c>
      <c r="J30" s="71"/>
      <c r="K30" s="82"/>
      <c r="L30" s="80">
        <f>E30*'[1]Energy Values'!C$8*'[1]Energy Values'!E$8</f>
        <v>26251564.050000001</v>
      </c>
      <c r="M30" s="83">
        <f>E30*'[1]Energy Values'!C$8*'[1]Energy Values'!D$8</f>
        <v>40116600</v>
      </c>
      <c r="N30" s="80">
        <f>M30-L30</f>
        <v>13865035.949999999</v>
      </c>
      <c r="O30" s="71"/>
      <c r="P30" s="82"/>
      <c r="Q30" s="74">
        <f>P31/'[1]References &amp; Conversions'!R$4*'[1]References &amp; Conversions'!R$5*'[1]References &amp; Conversions'!R$6*'[1]References &amp; Conversions'!K$5</f>
        <v>359583.12341232231</v>
      </c>
      <c r="R30" s="83">
        <f>Q30*E30</f>
        <v>70298500.627109006</v>
      </c>
      <c r="S30" s="80">
        <f>N30-I30</f>
        <v>9751035.9499999993</v>
      </c>
      <c r="T30" s="83">
        <f>R30-I30</f>
        <v>66184500.627109006</v>
      </c>
      <c r="U30" s="77">
        <f>M30/(I30+L30)</f>
        <v>1.3211215156070846</v>
      </c>
      <c r="V30" s="78">
        <f>R30/I30</f>
        <v>17.087627765461598</v>
      </c>
    </row>
    <row r="31" spans="2:22" ht="12.75" customHeight="1">
      <c r="B31" s="84" t="s">
        <v>27</v>
      </c>
      <c r="C31" s="85"/>
      <c r="D31" s="175"/>
      <c r="E31" s="87">
        <f>AVERAGE(E28:E30)</f>
        <v>191.83333333333334</v>
      </c>
      <c r="F31" s="88"/>
      <c r="G31" s="89">
        <f>AVERAGE(G28:G30)</f>
        <v>3916800</v>
      </c>
      <c r="H31" s="90">
        <f>AVERAGE(H28:H30)</f>
        <v>197200</v>
      </c>
      <c r="I31" s="91">
        <f>AVERAGE(I28:I30)</f>
        <v>4114000</v>
      </c>
      <c r="J31" s="87"/>
      <c r="K31" s="92" t="str">
        <f>'[1]Energy Values'!B$8</f>
        <v>Ethanol</v>
      </c>
      <c r="L31" s="90">
        <f>AVERAGE(L28:L30)</f>
        <v>25759207.349999998</v>
      </c>
      <c r="M31" s="90">
        <f>AVERAGE(M28:M30)</f>
        <v>39364200</v>
      </c>
      <c r="N31" s="91">
        <f>AVERAGE(N28:N30)</f>
        <v>13604992.65</v>
      </c>
      <c r="O31" s="88"/>
      <c r="P31" s="92">
        <v>17.57</v>
      </c>
      <c r="Q31" s="90">
        <f t="shared" ref="Q31:V31" si="3">AVERAGE(Q28:Q30)</f>
        <v>359583.12341232231</v>
      </c>
      <c r="R31" s="90">
        <f t="shared" si="3"/>
        <v>68980029.174597159</v>
      </c>
      <c r="S31" s="90">
        <f t="shared" si="3"/>
        <v>9490992.6500000004</v>
      </c>
      <c r="T31" s="90">
        <f t="shared" si="3"/>
        <v>64866029.174597166</v>
      </c>
      <c r="U31" s="93">
        <f t="shared" si="3"/>
        <v>1.3173718707812589</v>
      </c>
      <c r="V31" s="94">
        <f t="shared" si="3"/>
        <v>16.767143698249189</v>
      </c>
    </row>
    <row r="32" spans="2:22" ht="12.75" customHeight="1">
      <c r="B32" s="95"/>
      <c r="C32" s="96"/>
      <c r="D32" s="140"/>
      <c r="E32" s="98"/>
      <c r="F32" s="99"/>
      <c r="G32" s="75"/>
      <c r="H32" s="100"/>
      <c r="I32" s="75"/>
      <c r="J32" s="99"/>
      <c r="K32" s="82"/>
      <c r="L32" s="75"/>
      <c r="M32" s="100"/>
      <c r="N32" s="75"/>
      <c r="O32" s="99"/>
      <c r="P32" s="82"/>
      <c r="Q32" s="75"/>
      <c r="R32" s="176"/>
      <c r="S32" s="177"/>
      <c r="T32" s="100"/>
      <c r="U32" s="102"/>
      <c r="V32" s="103"/>
    </row>
    <row r="33" spans="2:22" ht="12.75" customHeight="1">
      <c r="B33" s="104" t="s">
        <v>28</v>
      </c>
      <c r="C33" s="105"/>
      <c r="D33" s="178"/>
      <c r="E33" s="140"/>
      <c r="F33" s="179"/>
      <c r="G33" s="75"/>
      <c r="H33" s="100"/>
      <c r="I33" s="75"/>
      <c r="J33" s="179"/>
      <c r="K33" s="82"/>
      <c r="L33" s="75"/>
      <c r="M33" s="100"/>
      <c r="N33" s="75"/>
      <c r="O33" s="179"/>
      <c r="P33" s="82"/>
      <c r="Q33" s="75"/>
      <c r="R33" s="100"/>
      <c r="S33" s="75"/>
      <c r="T33" s="100"/>
      <c r="U33" s="102"/>
      <c r="V33" s="103"/>
    </row>
    <row r="34" spans="2:22" ht="12.75" customHeight="1">
      <c r="B34" s="107" t="s">
        <v>29</v>
      </c>
      <c r="C34" s="108">
        <v>0.33333000000000002</v>
      </c>
      <c r="D34" s="109">
        <f>'[1]Yield Summary'!C35</f>
        <v>198.6</v>
      </c>
      <c r="E34" s="110">
        <f>D34*C34</f>
        <v>66.199337999999997</v>
      </c>
      <c r="F34" s="71"/>
      <c r="G34" s="72">
        <f>('[1]Field Operations'!O$37+'[1]Field Operations'!O$43)*C34</f>
        <v>133731.99600000001</v>
      </c>
      <c r="H34" s="72">
        <f>'[1]Field Operations'!O$50*C34+'[1]Yield Summary'!E35</f>
        <v>65732.676000000007</v>
      </c>
      <c r="I34" s="74">
        <f>G34+H34</f>
        <v>199464.67200000002</v>
      </c>
      <c r="J34" s="71"/>
      <c r="K34" s="82"/>
      <c r="L34" s="74">
        <f>E34*'[1]Energy Values'!C$8*'[1]Energy Values'!E$8</f>
        <v>8889187.5272358004</v>
      </c>
      <c r="M34" s="73">
        <f>E34*'[1]Energy Values'!C$8*'[1]Energy Values'!D$8</f>
        <v>13584104.157600001</v>
      </c>
      <c r="N34" s="76">
        <f>M34-L34</f>
        <v>4694916.6303642001</v>
      </c>
      <c r="O34" s="71"/>
      <c r="P34" s="82"/>
      <c r="Q34" s="74">
        <f>P37/'[1]References &amp; Conversions'!R$4*'[1]References &amp; Conversions'!R$5*'[1]References &amp; Conversions'!R$6*'[1]References &amp; Conversions'!K$5</f>
        <v>359583.12341232231</v>
      </c>
      <c r="R34" s="73">
        <f>Q34*E34</f>
        <v>23804164.725868039</v>
      </c>
      <c r="S34" s="73">
        <f>N34-I34</f>
        <v>4495451.9583641998</v>
      </c>
      <c r="T34" s="72">
        <f>R34-I34</f>
        <v>23604700.05386804</v>
      </c>
      <c r="U34" s="77">
        <f>M34/(I34+L34)</f>
        <v>1.4946225094565935</v>
      </c>
      <c r="V34" s="78">
        <f>R34/I34</f>
        <v>119.3402545282206</v>
      </c>
    </row>
    <row r="35" spans="2:22" ht="12.75" customHeight="1">
      <c r="B35" s="95"/>
      <c r="C35" s="108">
        <v>0.33333000000000002</v>
      </c>
      <c r="D35" s="109">
        <f>'[1]Yield Summary'!C36</f>
        <v>196.8</v>
      </c>
      <c r="E35" s="110">
        <f>D35*C35</f>
        <v>65.599344000000002</v>
      </c>
      <c r="F35" s="71"/>
      <c r="G35" s="72">
        <f>('[1]Field Operations'!O$37+'[1]Field Operations'!O$43)*C35</f>
        <v>133731.99600000001</v>
      </c>
      <c r="H35" s="72">
        <f>'[1]Field Operations'!O$50*C35+'[1]Yield Summary'!E36</f>
        <v>65732.676000000007</v>
      </c>
      <c r="I35" s="74">
        <f>G35+H35</f>
        <v>199464.67200000002</v>
      </c>
      <c r="J35" s="71"/>
      <c r="K35" s="82"/>
      <c r="L35" s="74">
        <f>E35*'[1]Energy Values'!C$8*'[1]Energy Values'!E$8</f>
        <v>8808620.8729104009</v>
      </c>
      <c r="M35" s="73">
        <f>E35*'[1]Energy Values'!C$8*'[1]Energy Values'!D$8</f>
        <v>13460985.388800003</v>
      </c>
      <c r="N35" s="76">
        <f>M35-L35</f>
        <v>4652364.5158896018</v>
      </c>
      <c r="O35" s="71"/>
      <c r="P35" s="82"/>
      <c r="Q35" s="74">
        <f>P37/'[1]References &amp; Conversions'!R$4*'[1]References &amp; Conversions'!R$5*'[1]References &amp; Conversions'!R$6*'[1]References &amp; Conversions'!K$5</f>
        <v>359583.12341232231</v>
      </c>
      <c r="R35" s="73">
        <f>Q35*E35</f>
        <v>23588417.009319387</v>
      </c>
      <c r="S35" s="73">
        <f>N35-I35</f>
        <v>4452899.8438896015</v>
      </c>
      <c r="T35" s="72">
        <f>R35-I35</f>
        <v>23388952.337319389</v>
      </c>
      <c r="U35" s="77">
        <f>M35/(I35+L35)</f>
        <v>1.4943225529652642</v>
      </c>
      <c r="V35" s="78">
        <f>R35/I35</f>
        <v>118.25862080137873</v>
      </c>
    </row>
    <row r="36" spans="2:22" ht="12.75" customHeight="1">
      <c r="B36" s="95"/>
      <c r="C36" s="108">
        <v>0.33333000000000002</v>
      </c>
      <c r="D36" s="109">
        <f>'[1]Yield Summary'!C37</f>
        <v>200.4</v>
      </c>
      <c r="E36" s="111">
        <f>D36*C36</f>
        <v>66.799332000000007</v>
      </c>
      <c r="F36" s="71"/>
      <c r="G36" s="72">
        <f>('[1]Field Operations'!O$37+'[1]Field Operations'!O$43)*C36</f>
        <v>133731.99600000001</v>
      </c>
      <c r="H36" s="72">
        <f>'[1]Field Operations'!O$50*C36+'[1]Yield Summary'!E37</f>
        <v>65732.676000000007</v>
      </c>
      <c r="I36" s="81">
        <f>G36+H36</f>
        <v>199464.67200000002</v>
      </c>
      <c r="J36" s="71"/>
      <c r="K36" s="112"/>
      <c r="L36" s="80">
        <f>E36*'[1]Energy Values'!C$8*'[1]Energy Values'!E$8</f>
        <v>8969754.1815612018</v>
      </c>
      <c r="M36" s="83">
        <f>E36*'[1]Energy Values'!C$8*'[1]Energy Values'!D$8</f>
        <v>13707222.926400002</v>
      </c>
      <c r="N36" s="80">
        <f>M36-L36</f>
        <v>4737468.7448388003</v>
      </c>
      <c r="O36" s="71"/>
      <c r="P36" s="112"/>
      <c r="Q36" s="74">
        <f>P37/'[1]References &amp; Conversions'!R$4*'[1]References &amp; Conversions'!R$5*'[1]References &amp; Conversions'!R$6*'[1]References &amp; Conversions'!K$5</f>
        <v>359583.12341232231</v>
      </c>
      <c r="R36" s="83">
        <f>Q36*E36</f>
        <v>24019912.442416694</v>
      </c>
      <c r="S36" s="80">
        <f>N36-I36</f>
        <v>4538004.0728388</v>
      </c>
      <c r="T36" s="83">
        <f>R36-I36</f>
        <v>23820447.770416696</v>
      </c>
      <c r="U36" s="77">
        <f>M36/(I36+L36)</f>
        <v>1.4949171947266042</v>
      </c>
      <c r="V36" s="78">
        <f>R36/I36</f>
        <v>120.42188825506248</v>
      </c>
    </row>
    <row r="37" spans="2:22" ht="12.75" customHeight="1">
      <c r="B37" s="113" t="s">
        <v>30</v>
      </c>
      <c r="C37" s="114"/>
      <c r="D37" s="180"/>
      <c r="E37" s="115">
        <f>AVERAGE(E34:E36)</f>
        <v>66.199337999999997</v>
      </c>
      <c r="F37" s="88"/>
      <c r="G37" s="116">
        <f>AVERAGE(G34:G36)</f>
        <v>133731.99600000001</v>
      </c>
      <c r="H37" s="117">
        <f>AVERAGE(H34:H36)</f>
        <v>65732.676000000007</v>
      </c>
      <c r="I37" s="118">
        <f>AVERAGE(I34:I36)</f>
        <v>199464.67200000002</v>
      </c>
      <c r="J37" s="88"/>
      <c r="K37" s="119" t="str">
        <f>'[1]Energy Values'!B$8</f>
        <v>Ethanol</v>
      </c>
      <c r="L37" s="117">
        <f>AVERAGE(L34:L36)</f>
        <v>8889187.5272358004</v>
      </c>
      <c r="M37" s="117">
        <f>AVERAGE(M34:M36)</f>
        <v>13584104.157600001</v>
      </c>
      <c r="N37" s="118">
        <f>AVERAGE(N34:N36)</f>
        <v>4694916.630364201</v>
      </c>
      <c r="O37" s="88"/>
      <c r="P37" s="119">
        <v>17.57</v>
      </c>
      <c r="Q37" s="117">
        <f t="shared" ref="Q37:V37" si="4">AVERAGE(Q34:Q36)</f>
        <v>359583.12341232231</v>
      </c>
      <c r="R37" s="117">
        <f t="shared" si="4"/>
        <v>23804164.725868043</v>
      </c>
      <c r="S37" s="117">
        <f t="shared" si="4"/>
        <v>4495451.9583642008</v>
      </c>
      <c r="T37" s="117">
        <f t="shared" si="4"/>
        <v>23604700.05386804</v>
      </c>
      <c r="U37" s="120">
        <f t="shared" si="4"/>
        <v>1.4946207523828205</v>
      </c>
      <c r="V37" s="121">
        <f t="shared" si="4"/>
        <v>119.3402545282206</v>
      </c>
    </row>
    <row r="38" spans="2:22" ht="12.75" customHeight="1">
      <c r="B38" s="95"/>
      <c r="C38" s="108"/>
      <c r="D38" s="140"/>
      <c r="E38" s="140"/>
      <c r="F38" s="179"/>
      <c r="G38" s="75"/>
      <c r="H38" s="100"/>
      <c r="I38" s="75"/>
      <c r="J38" s="179"/>
      <c r="K38" s="82"/>
      <c r="L38" s="75"/>
      <c r="M38" s="100"/>
      <c r="N38" s="75"/>
      <c r="O38" s="179"/>
      <c r="P38" s="82"/>
      <c r="Q38" s="75"/>
      <c r="R38" s="100"/>
      <c r="S38" s="75"/>
      <c r="T38" s="100"/>
      <c r="U38" s="102"/>
      <c r="V38" s="103"/>
    </row>
    <row r="39" spans="2:22" ht="12.75" customHeight="1">
      <c r="B39" s="107" t="s">
        <v>31</v>
      </c>
      <c r="C39" s="108">
        <v>0.33333000000000002</v>
      </c>
      <c r="D39" s="109">
        <f>'[1]Yield Summary'!C40</f>
        <v>70.7</v>
      </c>
      <c r="E39" s="110">
        <f>D39*C39</f>
        <v>23.566431000000001</v>
      </c>
      <c r="F39" s="71"/>
      <c r="G39" s="72">
        <f>('[1]Field Operations'!V$37+'[1]Field Operations'!V$43)*C39</f>
        <v>108798.91200000001</v>
      </c>
      <c r="H39" s="73">
        <f>('[1]Field Operations'!V$50)*C39+'[1]Yield Summary'!E40</f>
        <v>45332.880000000005</v>
      </c>
      <c r="I39" s="76">
        <f>G39+H39</f>
        <v>154131.79200000002</v>
      </c>
      <c r="J39" s="71"/>
      <c r="K39" s="82"/>
      <c r="L39" s="74">
        <f>E39*'[1]Energy Values'!C$11*'[1]Energy Values'!E$11</f>
        <v>823565.69492736005</v>
      </c>
      <c r="M39" s="73">
        <f>E39*'[1]Energy Values'!C$11*'[1]Energy Values'!D$11</f>
        <v>3882835.3365916805</v>
      </c>
      <c r="N39" s="76">
        <f>M39-L39</f>
        <v>3059269.6416643206</v>
      </c>
      <c r="O39" s="71"/>
      <c r="P39" s="82"/>
      <c r="Q39" s="74">
        <f>P42/1.055*453.6*'[1]References &amp; Conversions'!R$7*'[1]References &amp; Conversions'!K$5</f>
        <v>487888.72037914698</v>
      </c>
      <c r="R39" s="73">
        <f>Q39*E39</f>
        <v>11497795.864493461</v>
      </c>
      <c r="S39" s="73">
        <f>N39-I39</f>
        <v>2905137.8496643207</v>
      </c>
      <c r="T39" s="72">
        <f>R39-I39</f>
        <v>11343664.072493462</v>
      </c>
      <c r="U39" s="77">
        <f>M39/(I39+L39)</f>
        <v>3.9714077089370319</v>
      </c>
      <c r="V39" s="78">
        <f>R39/I39</f>
        <v>74.597172428213</v>
      </c>
    </row>
    <row r="40" spans="2:22" ht="12.75" customHeight="1">
      <c r="B40" s="107"/>
      <c r="C40" s="108">
        <v>0.33333000000000002</v>
      </c>
      <c r="D40" s="109">
        <f>'[1]Yield Summary'!C41</f>
        <v>70.8</v>
      </c>
      <c r="E40" s="110">
        <f>D40*C40</f>
        <v>23.599764</v>
      </c>
      <c r="F40" s="71"/>
      <c r="G40" s="72">
        <f>('[1]Field Operations'!V$37+'[1]Field Operations'!V$43)*C40</f>
        <v>108798.91200000001</v>
      </c>
      <c r="H40" s="73">
        <f>('[1]Field Operations'!V$50)*C40+'[1]Yield Summary'!E41</f>
        <v>45332.880000000005</v>
      </c>
      <c r="I40" s="76">
        <f>G40+H40</f>
        <v>154131.79200000002</v>
      </c>
      <c r="J40" s="71"/>
      <c r="K40" s="82"/>
      <c r="L40" s="74">
        <f>E40*'[1]Energy Values'!C$11*'[1]Energy Values'!E$11</f>
        <v>824730.56861184002</v>
      </c>
      <c r="M40" s="73">
        <f>E40*'[1]Energy Values'!C$11*'[1]Energy Values'!D$11</f>
        <v>3888327.3243379202</v>
      </c>
      <c r="N40" s="76">
        <f>M40-L40</f>
        <v>3063596.7557260804</v>
      </c>
      <c r="O40" s="71"/>
      <c r="P40" s="82"/>
      <c r="Q40" s="74">
        <f>P42/1.055*453.6*'[1]References &amp; Conversions'!R$7*'[1]References &amp; Conversions'!K$5</f>
        <v>487888.72037914698</v>
      </c>
      <c r="R40" s="73">
        <f>Q40*E40</f>
        <v>11514058.659209859</v>
      </c>
      <c r="S40" s="73">
        <f>N40-I40</f>
        <v>2909464.9637260805</v>
      </c>
      <c r="T40" s="72">
        <f>R40-I40</f>
        <v>11359926.867209859</v>
      </c>
      <c r="U40" s="77">
        <f>M40/(I40+L40)</f>
        <v>3.9722922045010627</v>
      </c>
      <c r="V40" s="78">
        <f>R40/I40</f>
        <v>74.702684694730976</v>
      </c>
    </row>
    <row r="41" spans="2:22" ht="12.75" customHeight="1">
      <c r="B41" s="107"/>
      <c r="C41" s="108">
        <v>0.33333000000000002</v>
      </c>
      <c r="D41" s="109">
        <f>'[1]Yield Summary'!C42</f>
        <v>73.5</v>
      </c>
      <c r="E41" s="111">
        <f>D41*C41</f>
        <v>24.499755</v>
      </c>
      <c r="F41" s="71"/>
      <c r="G41" s="72">
        <f>('[1]Field Operations'!V$37+'[1]Field Operations'!V$43)*C41</f>
        <v>108798.91200000001</v>
      </c>
      <c r="H41" s="73">
        <f>('[1]Field Operations'!V$50)*C41+'[1]Yield Summary'!E42</f>
        <v>45332.880000000005</v>
      </c>
      <c r="I41" s="80">
        <f>G41+H41</f>
        <v>154131.79200000002</v>
      </c>
      <c r="J41" s="71"/>
      <c r="K41" s="112"/>
      <c r="L41" s="74">
        <f>E41*'[1]Energy Values'!C$11*'[1]Energy Values'!E$11</f>
        <v>856182.15809280006</v>
      </c>
      <c r="M41" s="73">
        <f>E41*'[1]Energy Values'!C$11*'[1]Energy Values'!D$11</f>
        <v>4036610.9934864002</v>
      </c>
      <c r="N41" s="80">
        <f>M41-L41</f>
        <v>3180428.8353936002</v>
      </c>
      <c r="O41" s="71"/>
      <c r="P41" s="112"/>
      <c r="Q41" s="74">
        <f>P42/1.055*453.6*'[1]References &amp; Conversions'!R$7*'[1]References &amp; Conversions'!K$5</f>
        <v>487888.72037914698</v>
      </c>
      <c r="R41" s="83">
        <f>Q41*E41</f>
        <v>11953154.116552608</v>
      </c>
      <c r="S41" s="80">
        <f>N41-I41</f>
        <v>3026297.0433936003</v>
      </c>
      <c r="T41" s="83">
        <f>R41-I41</f>
        <v>11799022.324552609</v>
      </c>
      <c r="U41" s="77">
        <f>M41/(I41+L41)</f>
        <v>3.9954026103624787</v>
      </c>
      <c r="V41" s="78">
        <f>R41/I41</f>
        <v>77.551515890716473</v>
      </c>
    </row>
    <row r="42" spans="2:22" ht="12.75" customHeight="1">
      <c r="B42" s="127" t="s">
        <v>32</v>
      </c>
      <c r="C42" s="128"/>
      <c r="D42" s="129"/>
      <c r="E42" s="181">
        <f>AVERAGE(E39:E41)</f>
        <v>23.888650000000002</v>
      </c>
      <c r="F42" s="88"/>
      <c r="G42" s="132">
        <f>AVERAGE(G39:G41)</f>
        <v>108798.91200000001</v>
      </c>
      <c r="H42" s="133">
        <f>AVERAGE(H39:H41)</f>
        <v>45332.880000000005</v>
      </c>
      <c r="I42" s="134">
        <f>AVERAGE(I39:I41)</f>
        <v>154131.79200000002</v>
      </c>
      <c r="J42" s="88"/>
      <c r="K42" s="135" t="str">
        <f>'[1]Energy Values'!B$11</f>
        <v>Biodiesel</v>
      </c>
      <c r="L42" s="133">
        <f>AVERAGE(L39:L41)</f>
        <v>834826.14054400008</v>
      </c>
      <c r="M42" s="133">
        <f>AVERAGE(M39:M41)</f>
        <v>3935924.5514720003</v>
      </c>
      <c r="N42" s="134">
        <f>AVERAGE(N39:N41)</f>
        <v>3101098.4109280002</v>
      </c>
      <c r="O42" s="88"/>
      <c r="P42" s="136">
        <v>22.25</v>
      </c>
      <c r="Q42" s="133">
        <f t="shared" ref="Q42:V42" si="5">AVERAGE(Q39:Q41)</f>
        <v>487888.72037914698</v>
      </c>
      <c r="R42" s="133">
        <f t="shared" si="5"/>
        <v>11655002.88008531</v>
      </c>
      <c r="S42" s="133">
        <f t="shared" si="5"/>
        <v>2946966.6189280003</v>
      </c>
      <c r="T42" s="133">
        <f t="shared" si="5"/>
        <v>11500871.088085311</v>
      </c>
      <c r="U42" s="137">
        <f t="shared" si="5"/>
        <v>3.9797008412668577</v>
      </c>
      <c r="V42" s="138">
        <f t="shared" si="5"/>
        <v>75.617124337886821</v>
      </c>
    </row>
    <row r="43" spans="2:22" ht="12.75" customHeight="1">
      <c r="B43" s="95"/>
      <c r="C43" s="139"/>
      <c r="D43" s="140"/>
      <c r="E43" s="140"/>
      <c r="F43" s="179"/>
      <c r="G43" s="75"/>
      <c r="H43" s="100"/>
      <c r="I43" s="75"/>
      <c r="J43" s="179"/>
      <c r="K43" s="82"/>
      <c r="L43" s="75"/>
      <c r="M43" s="100"/>
      <c r="N43" s="75"/>
      <c r="O43" s="179"/>
      <c r="P43" s="82"/>
      <c r="Q43" s="75"/>
      <c r="R43" s="100"/>
      <c r="S43" s="75"/>
      <c r="T43" s="100"/>
      <c r="U43" s="102"/>
      <c r="V43" s="103"/>
    </row>
    <row r="44" spans="2:22" ht="12.75" customHeight="1">
      <c r="B44" s="141" t="s">
        <v>33</v>
      </c>
      <c r="C44" s="142">
        <v>0.33333299999999999</v>
      </c>
      <c r="D44" s="152">
        <f>'[1]Yield Summary'!C48/1.2</f>
        <v>5326.3888888888896</v>
      </c>
      <c r="E44" s="182">
        <f>D44*C44</f>
        <v>1775.4611875000003</v>
      </c>
      <c r="F44" s="183"/>
      <c r="G44" s="146">
        <f>('[1]Field Operations'!AC$37+'[1]Field Operations'!AC$43)*C44</f>
        <v>70266.596399999995</v>
      </c>
      <c r="H44" s="147">
        <f>'[1]Field Operations'!AC$50*C44</f>
        <v>54399.945599999999</v>
      </c>
      <c r="I44" s="146">
        <f>G44+H44</f>
        <v>124666.54199999999</v>
      </c>
      <c r="J44" s="183"/>
      <c r="K44" s="148" t="s">
        <v>34</v>
      </c>
      <c r="L44" s="149"/>
      <c r="M44" s="150"/>
      <c r="N44" s="149"/>
      <c r="O44" s="183"/>
      <c r="P44" s="151">
        <v>16.47</v>
      </c>
      <c r="Q44" s="143">
        <f>P44/'[1]References &amp; Conversions'!R$4*'[1]References &amp; Conversions'!R$5*'[1]References &amp; Conversions'!K$5</f>
        <v>6019.1215165876783</v>
      </c>
      <c r="R44" s="152">
        <f>Q44*E44</f>
        <v>10686716.635547562</v>
      </c>
      <c r="S44" s="147">
        <f>N44-I44</f>
        <v>-124666.54199999999</v>
      </c>
      <c r="T44" s="153">
        <f>R44-I44</f>
        <v>10562050.093547562</v>
      </c>
      <c r="U44" s="154">
        <f>N44/I44</f>
        <v>0</v>
      </c>
      <c r="V44" s="155">
        <f>R44/I44</f>
        <v>85.722411676001755</v>
      </c>
    </row>
    <row r="45" spans="2:22" ht="12.75" customHeight="1">
      <c r="B45" s="95"/>
      <c r="C45" s="156"/>
      <c r="D45" s="184" t="s">
        <v>35</v>
      </c>
      <c r="E45" s="185" t="s">
        <v>36</v>
      </c>
      <c r="F45" s="71"/>
      <c r="G45" s="2"/>
      <c r="H45" s="186"/>
      <c r="I45" s="2"/>
      <c r="J45" s="71"/>
      <c r="K45" s="187"/>
      <c r="L45" s="2"/>
      <c r="M45" s="186"/>
      <c r="N45" s="2"/>
      <c r="O45" s="71"/>
      <c r="P45" s="75"/>
      <c r="Q45" s="159" t="s">
        <v>37</v>
      </c>
      <c r="R45" s="160" t="s">
        <v>38</v>
      </c>
      <c r="S45" s="188"/>
      <c r="T45" s="188"/>
      <c r="U45" s="189"/>
      <c r="V45" s="190"/>
    </row>
    <row r="46" spans="2:22" ht="12.75" customHeight="1">
      <c r="B46" s="161"/>
      <c r="C46" s="162"/>
      <c r="D46" s="163"/>
      <c r="E46" s="163"/>
      <c r="F46" s="164"/>
      <c r="G46" s="165"/>
      <c r="H46" s="166"/>
      <c r="I46" s="165"/>
      <c r="J46" s="164"/>
      <c r="K46" s="167"/>
      <c r="L46" s="165"/>
      <c r="M46" s="166"/>
      <c r="N46" s="165"/>
      <c r="O46" s="164"/>
      <c r="P46" s="167"/>
      <c r="Q46" s="165"/>
      <c r="R46" s="166"/>
      <c r="S46" s="165"/>
      <c r="T46" s="166"/>
      <c r="U46" s="168"/>
      <c r="V46" s="169"/>
    </row>
    <row r="47" spans="2:22" ht="20.100000000000001" customHeight="1" thickBot="1">
      <c r="B47" s="58" t="s">
        <v>40</v>
      </c>
      <c r="C47" s="170"/>
      <c r="D47" s="171"/>
      <c r="E47" s="172"/>
      <c r="F47" s="172"/>
      <c r="G47" s="63"/>
      <c r="H47" s="64"/>
      <c r="I47" s="63"/>
      <c r="J47" s="172"/>
      <c r="K47" s="61"/>
      <c r="L47" s="63"/>
      <c r="M47" s="64"/>
      <c r="N47" s="63"/>
      <c r="O47" s="172"/>
      <c r="P47" s="61"/>
      <c r="Q47" s="63"/>
      <c r="R47" s="64"/>
      <c r="S47" s="63"/>
      <c r="T47" s="64"/>
      <c r="U47" s="173"/>
      <c r="V47" s="174"/>
    </row>
    <row r="48" spans="2:22" s="192" customFormat="1" ht="15" customHeight="1" thickTop="1">
      <c r="B48" s="191"/>
      <c r="C48" s="68">
        <v>1</v>
      </c>
      <c r="D48" s="122">
        <f>'[1]Yield Summary'!C51</f>
        <v>152.69999999999999</v>
      </c>
      <c r="E48" s="110">
        <f>D48*C48</f>
        <v>152.69999999999999</v>
      </c>
      <c r="F48" s="71"/>
      <c r="G48" s="72">
        <f>('[1]Field Operations'!G$61+'[1]Field Operations'!G$64)*C48</f>
        <v>3903200</v>
      </c>
      <c r="H48" s="73">
        <f>'[1]Field Operations'!G$74*C48+'[1]Yield Summary'!E292</f>
        <v>197200</v>
      </c>
      <c r="I48" s="74">
        <f>G48+H48</f>
        <v>4100400</v>
      </c>
      <c r="J48" s="71"/>
      <c r="K48" s="2"/>
      <c r="L48" s="74">
        <f>E48*'[1]Energy Values'!C$8*'[1]Energy Values'!E$8</f>
        <v>20504418.57</v>
      </c>
      <c r="M48" s="73">
        <f>E48*'[1]Energy Values'!C$8*'[1]Energy Values'!D$8</f>
        <v>31334040</v>
      </c>
      <c r="N48" s="76">
        <f>M48-L48</f>
        <v>10829621.43</v>
      </c>
      <c r="O48" s="71"/>
      <c r="P48" s="2"/>
      <c r="Q48" s="74">
        <f>P51/'[1]References &amp; Conversions'!R$4*'[1]References &amp; Conversions'!R$5*'[1]References &amp; Conversions'!R$6*'[1]References &amp; Conversions'!K$5</f>
        <v>359583.12341232231</v>
      </c>
      <c r="R48" s="73">
        <f>Q48*E48</f>
        <v>54908342.945061609</v>
      </c>
      <c r="S48" s="73">
        <f>N48-I48</f>
        <v>6729221.4299999997</v>
      </c>
      <c r="T48" s="72">
        <f>R48-I48</f>
        <v>50807942.945061609</v>
      </c>
      <c r="U48" s="77">
        <f>M48/(I48+L48)</f>
        <v>1.2734920158364735</v>
      </c>
      <c r="V48" s="78">
        <f>R48/I48</f>
        <v>13.390972330763244</v>
      </c>
    </row>
    <row r="49" spans="2:22" ht="12.75" customHeight="1">
      <c r="B49" s="79"/>
      <c r="C49" s="68">
        <v>1</v>
      </c>
      <c r="D49" s="109">
        <f>'[1]Yield Summary'!C52</f>
        <v>163.6</v>
      </c>
      <c r="E49" s="70">
        <f>D49*C49</f>
        <v>163.6</v>
      </c>
      <c r="F49" s="71"/>
      <c r="G49" s="72">
        <f>('[1]Field Operations'!G$61+'[1]Field Operations'!G$64)*C49</f>
        <v>3903200</v>
      </c>
      <c r="H49" s="73">
        <f>'[1]Field Operations'!G$74*C49+'[1]Yield Summary'!E293</f>
        <v>197200</v>
      </c>
      <c r="I49" s="74">
        <f>G49+H49</f>
        <v>4100400</v>
      </c>
      <c r="J49" s="71"/>
      <c r="K49" s="75"/>
      <c r="L49" s="74">
        <f>E49*'[1]Energy Values'!C$8*'[1]Energy Values'!E$8</f>
        <v>21968060.760000002</v>
      </c>
      <c r="M49" s="73">
        <f>E49*'[1]Energy Values'!C$8*'[1]Energy Values'!D$8</f>
        <v>33570720</v>
      </c>
      <c r="N49" s="76">
        <f>M49-L49</f>
        <v>11602659.239999998</v>
      </c>
      <c r="O49" s="71"/>
      <c r="P49" s="75"/>
      <c r="Q49" s="74">
        <f>P51/'[1]References &amp; Conversions'!R$4*'[1]References &amp; Conversions'!R$5*'[1]References &amp; Conversions'!R$6*'[1]References &amp; Conversions'!K$5</f>
        <v>359583.12341232231</v>
      </c>
      <c r="R49" s="73">
        <f>Q49*E49</f>
        <v>58827798.99025593</v>
      </c>
      <c r="S49" s="73">
        <f>N49-I49</f>
        <v>7502259.2399999984</v>
      </c>
      <c r="T49" s="72">
        <f>R49-I49</f>
        <v>54727398.99025593</v>
      </c>
      <c r="U49" s="77">
        <f>M49/(I49+L49)</f>
        <v>1.2877906489788467</v>
      </c>
      <c r="V49" s="78">
        <f>R49/I49</f>
        <v>14.346843964065927</v>
      </c>
    </row>
    <row r="50" spans="2:22" ht="12.75" customHeight="1">
      <c r="B50" s="79"/>
      <c r="C50" s="68">
        <v>1</v>
      </c>
      <c r="D50" s="109">
        <f>'[1]Yield Summary'!C53</f>
        <v>156.4</v>
      </c>
      <c r="E50" s="70">
        <f>D50*C50</f>
        <v>156.4</v>
      </c>
      <c r="F50" s="71"/>
      <c r="G50" s="72">
        <f>('[1]Field Operations'!G$61+'[1]Field Operations'!G$64)*C50</f>
        <v>3903200</v>
      </c>
      <c r="H50" s="73">
        <f>'[1]Field Operations'!G$74*C50+'[1]Yield Summary'!E294</f>
        <v>197200</v>
      </c>
      <c r="I50" s="74">
        <f>G50+H50</f>
        <v>4100400</v>
      </c>
      <c r="J50" s="71"/>
      <c r="K50" s="82"/>
      <c r="L50" s="80">
        <f>E50*'[1]Energy Values'!C$8*'[1]Energy Values'!E$8</f>
        <v>21001251.240000002</v>
      </c>
      <c r="M50" s="83">
        <f>E50*'[1]Energy Values'!C$8*'[1]Energy Values'!D$8</f>
        <v>32093280.000000004</v>
      </c>
      <c r="N50" s="80">
        <f>M50-L50</f>
        <v>11092028.760000002</v>
      </c>
      <c r="O50" s="71"/>
      <c r="P50" s="82"/>
      <c r="Q50" s="74">
        <f>P51/'[1]References &amp; Conversions'!R$4*'[1]References &amp; Conversions'!R$5*'[1]References &amp; Conversions'!R$6*'[1]References &amp; Conversions'!K$5</f>
        <v>359583.12341232231</v>
      </c>
      <c r="R50" s="83">
        <f>Q50*E50</f>
        <v>56238800.501687214</v>
      </c>
      <c r="S50" s="80">
        <f>N50-I50</f>
        <v>6991628.7600000016</v>
      </c>
      <c r="T50" s="83">
        <f>R50-I50</f>
        <v>52138400.501687214</v>
      </c>
      <c r="U50" s="77">
        <f>M50/(I50+L50)</f>
        <v>1.2785326229399083</v>
      </c>
      <c r="V50" s="78">
        <f>R50/I50</f>
        <v>13.715442518214617</v>
      </c>
    </row>
    <row r="51" spans="2:22" ht="12.75" customHeight="1">
      <c r="B51" s="84" t="s">
        <v>27</v>
      </c>
      <c r="C51" s="85"/>
      <c r="D51" s="175"/>
      <c r="E51" s="87">
        <f>AVERAGE(E48:E50)</f>
        <v>157.56666666666663</v>
      </c>
      <c r="F51" s="88"/>
      <c r="G51" s="89">
        <f>AVERAGE(G48:G50)</f>
        <v>3903200</v>
      </c>
      <c r="H51" s="90">
        <f>AVERAGE(H48:H50)</f>
        <v>197200</v>
      </c>
      <c r="I51" s="91">
        <f>AVERAGE(I48:I50)</f>
        <v>4100400</v>
      </c>
      <c r="J51" s="87"/>
      <c r="K51" s="92" t="str">
        <f>'[1]Energy Values'!B$8</f>
        <v>Ethanol</v>
      </c>
      <c r="L51" s="90">
        <f>AVERAGE(L48:L50)</f>
        <v>21157910.190000001</v>
      </c>
      <c r="M51" s="90">
        <f>AVERAGE(M48:M50)</f>
        <v>32332680</v>
      </c>
      <c r="N51" s="91">
        <f>AVERAGE(N48:N50)</f>
        <v>11174769.810000001</v>
      </c>
      <c r="O51" s="88"/>
      <c r="P51" s="92">
        <v>17.57</v>
      </c>
      <c r="Q51" s="90">
        <f t="shared" ref="Q51:V51" si="6">AVERAGE(Q48:Q50)</f>
        <v>359583.12341232231</v>
      </c>
      <c r="R51" s="90">
        <f t="shared" si="6"/>
        <v>56658314.145668246</v>
      </c>
      <c r="S51" s="90">
        <f t="shared" si="6"/>
        <v>7074369.8099999996</v>
      </c>
      <c r="T51" s="90">
        <f t="shared" si="6"/>
        <v>52557914.145668246</v>
      </c>
      <c r="U51" s="93">
        <f t="shared" si="6"/>
        <v>1.2799384292517428</v>
      </c>
      <c r="V51" s="94">
        <f t="shared" si="6"/>
        <v>13.817752937681263</v>
      </c>
    </row>
    <row r="52" spans="2:22" ht="12.75" customHeight="1">
      <c r="B52" s="95"/>
      <c r="C52" s="96"/>
      <c r="D52" s="140"/>
      <c r="E52" s="98"/>
      <c r="F52" s="99"/>
      <c r="G52" s="75"/>
      <c r="H52" s="100"/>
      <c r="I52" s="75"/>
      <c r="J52" s="99"/>
      <c r="K52" s="82"/>
      <c r="L52" s="75"/>
      <c r="M52" s="100"/>
      <c r="N52" s="75"/>
      <c r="O52" s="99"/>
      <c r="P52" s="82"/>
      <c r="Q52" s="75"/>
      <c r="R52" s="176"/>
      <c r="S52" s="177"/>
      <c r="T52" s="100"/>
      <c r="U52" s="102"/>
      <c r="V52" s="103"/>
    </row>
    <row r="53" spans="2:22" ht="12.75" customHeight="1">
      <c r="B53" s="104" t="s">
        <v>28</v>
      </c>
      <c r="C53" s="105"/>
      <c r="D53" s="178"/>
      <c r="E53" s="140"/>
      <c r="F53" s="179"/>
      <c r="G53" s="75"/>
      <c r="H53" s="100"/>
      <c r="I53" s="75"/>
      <c r="J53" s="179"/>
      <c r="K53" s="82"/>
      <c r="L53" s="75"/>
      <c r="M53" s="100"/>
      <c r="N53" s="75"/>
      <c r="O53" s="179"/>
      <c r="P53" s="82"/>
      <c r="Q53" s="75"/>
      <c r="R53" s="100"/>
      <c r="S53" s="75"/>
      <c r="T53" s="100"/>
      <c r="U53" s="102"/>
      <c r="V53" s="103"/>
    </row>
    <row r="54" spans="2:22" ht="12.75" customHeight="1">
      <c r="B54" s="107" t="s">
        <v>29</v>
      </c>
      <c r="C54" s="108">
        <v>0.33333000000000002</v>
      </c>
      <c r="D54" s="109">
        <f>'[1]Yield Summary'!C57</f>
        <v>178.9</v>
      </c>
      <c r="E54" s="110">
        <f>D54*C54</f>
        <v>59.632737000000006</v>
      </c>
      <c r="F54" s="71"/>
      <c r="G54" s="72">
        <f>('[1]Field Operations'!O$61+'[1]Field Operations'!O$67)*C54</f>
        <v>129198.708</v>
      </c>
      <c r="H54" s="72">
        <f>'[1]Field Operations'!O$74*C54+'[1]Yield Summary'!E57</f>
        <v>65732.676000000007</v>
      </c>
      <c r="I54" s="74">
        <f>G54+H54</f>
        <v>194931.38400000002</v>
      </c>
      <c r="J54" s="71"/>
      <c r="K54" s="82"/>
      <c r="L54" s="74">
        <f>E54*'[1]Energy Values'!C$8*'[1]Energy Values'!E$8</f>
        <v>8007430.2548967013</v>
      </c>
      <c r="M54" s="73">
        <f>E54*'[1]Energy Values'!C$8*'[1]Energy Values'!D$8</f>
        <v>12236637.632400002</v>
      </c>
      <c r="N54" s="76">
        <f>M54-L54</f>
        <v>4229207.377503301</v>
      </c>
      <c r="O54" s="71"/>
      <c r="P54" s="82"/>
      <c r="Q54" s="74">
        <f>P57/'[1]References &amp; Conversions'!R$4*'[1]References &amp; Conversions'!R$5*'[1]References &amp; Conversions'!R$6*'[1]References &amp; Conversions'!K$5</f>
        <v>359583.12341232231</v>
      </c>
      <c r="R54" s="73">
        <f>Q54*E54</f>
        <v>21442925.82808556</v>
      </c>
      <c r="S54" s="73">
        <f>N54-I54</f>
        <v>4034275.9935033009</v>
      </c>
      <c r="T54" s="72">
        <f>R54-I54</f>
        <v>21247994.444085561</v>
      </c>
      <c r="U54" s="77">
        <f>M54/(I54+L54)</f>
        <v>1.4918432240749082</v>
      </c>
      <c r="V54" s="78">
        <f>R54/I54</f>
        <v>110.00242951173813</v>
      </c>
    </row>
    <row r="55" spans="2:22" ht="12.75" customHeight="1">
      <c r="B55" s="95"/>
      <c r="C55" s="108">
        <v>0.33333000000000002</v>
      </c>
      <c r="D55" s="109">
        <f>'[1]Yield Summary'!C58</f>
        <v>180.2</v>
      </c>
      <c r="E55" s="110">
        <f>D55*C55</f>
        <v>60.066065999999999</v>
      </c>
      <c r="F55" s="71"/>
      <c r="G55" s="72">
        <f>('[1]Field Operations'!O$61+'[1]Field Operations'!O$67)*C55</f>
        <v>129198.708</v>
      </c>
      <c r="H55" s="72">
        <f>'[1]Field Operations'!O$74*C55+'[1]Yield Summary'!E58</f>
        <v>65732.676000000007</v>
      </c>
      <c r="I55" s="74">
        <f>G55+H55</f>
        <v>194931.38400000002</v>
      </c>
      <c r="J55" s="71"/>
      <c r="K55" s="82"/>
      <c r="L55" s="74">
        <f>E55*'[1]Energy Values'!C$8*'[1]Energy Values'!E$8</f>
        <v>8065617.2830205997</v>
      </c>
      <c r="M55" s="73">
        <f>E55*'[1]Energy Values'!C$8*'[1]Energy Values'!D$8</f>
        <v>12325556.7432</v>
      </c>
      <c r="N55" s="76">
        <f>M55-L55</f>
        <v>4259939.4601794006</v>
      </c>
      <c r="O55" s="71"/>
      <c r="P55" s="82"/>
      <c r="Q55" s="74">
        <f>P57/'[1]References &amp; Conversions'!R$4*'[1]References &amp; Conversions'!R$5*'[1]References &amp; Conversions'!R$6*'[1]References &amp; Conversions'!K$5</f>
        <v>359583.12341232231</v>
      </c>
      <c r="R55" s="73">
        <f>Q55*E55</f>
        <v>21598743.623370696</v>
      </c>
      <c r="S55" s="73">
        <f>N55-I55</f>
        <v>4065008.0761794006</v>
      </c>
      <c r="T55" s="72">
        <f>R55-I55</f>
        <v>21403812.239370696</v>
      </c>
      <c r="U55" s="77">
        <f>M55/(I55+L55)</f>
        <v>1.4920990408795161</v>
      </c>
      <c r="V55" s="78">
        <f>R55/I55</f>
        <v>110.8017764003086</v>
      </c>
    </row>
    <row r="56" spans="2:22" ht="12.75" customHeight="1">
      <c r="B56" s="95"/>
      <c r="C56" s="108">
        <v>0.33333000000000002</v>
      </c>
      <c r="D56" s="109">
        <f>'[1]Yield Summary'!C59</f>
        <v>177.7</v>
      </c>
      <c r="E56" s="111">
        <f>D56*C56</f>
        <v>59.232740999999997</v>
      </c>
      <c r="F56" s="71"/>
      <c r="G56" s="72">
        <f>('[1]Field Operations'!O$61+'[1]Field Operations'!O$67)*C56</f>
        <v>129198.708</v>
      </c>
      <c r="H56" s="72">
        <f>'[1]Field Operations'!O$74*C56+'[1]Yield Summary'!E59</f>
        <v>65732.676000000007</v>
      </c>
      <c r="I56" s="74">
        <f>G56+H56</f>
        <v>194931.38400000002</v>
      </c>
      <c r="J56" s="71"/>
      <c r="K56" s="112"/>
      <c r="L56" s="80">
        <f>E56*'[1]Energy Values'!C$8*'[1]Energy Values'!E$8</f>
        <v>7953719.1520130998</v>
      </c>
      <c r="M56" s="83">
        <f>E56*'[1]Energy Values'!C$8*'[1]Energy Values'!D$8</f>
        <v>12154558.453199999</v>
      </c>
      <c r="N56" s="80">
        <f>M56-L56</f>
        <v>4200839.3011868997</v>
      </c>
      <c r="O56" s="71"/>
      <c r="P56" s="112"/>
      <c r="Q56" s="74">
        <f>P57/'[1]References &amp; Conversions'!R$4*'[1]References &amp; Conversions'!R$5*'[1]References &amp; Conversions'!R$6*'[1]References &amp; Conversions'!K$5</f>
        <v>359583.12341232231</v>
      </c>
      <c r="R56" s="83">
        <f>Q56*E56</f>
        <v>21299094.017053124</v>
      </c>
      <c r="S56" s="80">
        <f>N56-I56</f>
        <v>4005907.9171868996</v>
      </c>
      <c r="T56" s="83">
        <f>R56-I56</f>
        <v>21104162.633053124</v>
      </c>
      <c r="U56" s="77">
        <f>M56/(I56+L56)</f>
        <v>1.4916038428059617</v>
      </c>
      <c r="V56" s="78">
        <f>R56/I56</f>
        <v>109.26457084536537</v>
      </c>
    </row>
    <row r="57" spans="2:22" ht="12.75" customHeight="1">
      <c r="B57" s="113" t="s">
        <v>30</v>
      </c>
      <c r="C57" s="114"/>
      <c r="D57" s="180"/>
      <c r="E57" s="115">
        <f>AVERAGE(E54:E56)</f>
        <v>59.643847999999998</v>
      </c>
      <c r="F57" s="88"/>
      <c r="G57" s="116">
        <f>AVERAGE(G54:G56)</f>
        <v>129198.708</v>
      </c>
      <c r="H57" s="117">
        <f>AVERAGE(H54:H56)</f>
        <v>65732.676000000007</v>
      </c>
      <c r="I57" s="118">
        <f>AVERAGE(I54:I56)</f>
        <v>194931.38399999999</v>
      </c>
      <c r="J57" s="88"/>
      <c r="K57" s="119" t="str">
        <f>'[1]Energy Values'!B$8</f>
        <v>Ethanol</v>
      </c>
      <c r="L57" s="117">
        <f>AVERAGE(L54:L56)</f>
        <v>8008922.2299768003</v>
      </c>
      <c r="M57" s="117">
        <f>AVERAGE(M54:M56)</f>
        <v>12238917.6096</v>
      </c>
      <c r="N57" s="118">
        <f>AVERAGE(N54:N56)</f>
        <v>4229995.3796232007</v>
      </c>
      <c r="O57" s="88"/>
      <c r="P57" s="119">
        <v>17.57</v>
      </c>
      <c r="Q57" s="117">
        <f t="shared" ref="Q57:V57" si="7">AVERAGE(Q54:Q56)</f>
        <v>359583.12341232231</v>
      </c>
      <c r="R57" s="117">
        <f t="shared" si="7"/>
        <v>21446921.156169791</v>
      </c>
      <c r="S57" s="117">
        <f t="shared" si="7"/>
        <v>4035063.9956232007</v>
      </c>
      <c r="T57" s="117">
        <f t="shared" si="7"/>
        <v>21251989.772169795</v>
      </c>
      <c r="U57" s="120">
        <f t="shared" si="7"/>
        <v>1.4918487025867953</v>
      </c>
      <c r="V57" s="121">
        <f t="shared" si="7"/>
        <v>110.02292558580403</v>
      </c>
    </row>
    <row r="58" spans="2:22" ht="12.75" customHeight="1">
      <c r="B58" s="95"/>
      <c r="C58" s="108"/>
      <c r="D58" s="140"/>
      <c r="E58" s="140"/>
      <c r="F58" s="179"/>
      <c r="G58" s="75"/>
      <c r="H58" s="100"/>
      <c r="I58" s="75"/>
      <c r="J58" s="179"/>
      <c r="K58" s="82"/>
      <c r="L58" s="75"/>
      <c r="M58" s="100"/>
      <c r="N58" s="75"/>
      <c r="O58" s="179"/>
      <c r="P58" s="82"/>
      <c r="Q58" s="75"/>
      <c r="R58" s="100"/>
      <c r="S58" s="75"/>
      <c r="T58" s="100"/>
      <c r="U58" s="102"/>
      <c r="V58" s="103"/>
    </row>
    <row r="59" spans="2:22" ht="12.75" customHeight="1">
      <c r="B59" s="107" t="s">
        <v>31</v>
      </c>
      <c r="C59" s="108">
        <v>0.33333000000000002</v>
      </c>
      <c r="D59" s="109">
        <f>'[1]Yield Summary'!C62</f>
        <v>78.400000000000006</v>
      </c>
      <c r="E59" s="110">
        <f>D59*C59</f>
        <v>26.133072000000002</v>
      </c>
      <c r="F59" s="71"/>
      <c r="G59" s="72">
        <f>('[1]Field Operations'!V$61+'[1]Field Operations'!V$67)*C59</f>
        <v>129198.708</v>
      </c>
      <c r="H59" s="73">
        <f>('[1]Field Operations'!V$74)*C59+'[1]Yield Summary'!E62</f>
        <v>45332.880000000005</v>
      </c>
      <c r="I59" s="76">
        <f>G59+H59</f>
        <v>174531.58799999999</v>
      </c>
      <c r="J59" s="71"/>
      <c r="K59" s="82"/>
      <c r="L59" s="74">
        <f>E59*'[1]Energy Values'!C$11*'[1]Energy Values'!E$11</f>
        <v>913260.96863232006</v>
      </c>
      <c r="M59" s="73">
        <f>E59*'[1]Energy Values'!C$11*'[1]Energy Values'!D$11</f>
        <v>4305718.3930521607</v>
      </c>
      <c r="N59" s="76">
        <f>M59-L59</f>
        <v>3392457.4244198408</v>
      </c>
      <c r="O59" s="71"/>
      <c r="P59" s="82"/>
      <c r="Q59" s="74">
        <f>P62/1.055*453.6*'[1]References &amp; Conversions'!R$7*'[1]References &amp; Conversions'!K$5</f>
        <v>487888.72037914698</v>
      </c>
      <c r="R59" s="73">
        <f>Q59*E59</f>
        <v>12750031.057656117</v>
      </c>
      <c r="S59" s="73">
        <f>N59-I59</f>
        <v>3217925.8364198408</v>
      </c>
      <c r="T59" s="72">
        <f>R59-I59</f>
        <v>12575499.469656117</v>
      </c>
      <c r="U59" s="77">
        <f>M59/(I59+L59)</f>
        <v>3.9582164511055007</v>
      </c>
      <c r="V59" s="78">
        <f>R59/I59</f>
        <v>73.052856527358912</v>
      </c>
    </row>
    <row r="60" spans="2:22" ht="12.75" customHeight="1">
      <c r="B60" s="107"/>
      <c r="C60" s="108">
        <v>0.33333000000000002</v>
      </c>
      <c r="D60" s="109">
        <f>'[1]Yield Summary'!C63</f>
        <v>72.7</v>
      </c>
      <c r="E60" s="110">
        <f>D60*C60</f>
        <v>24.233091000000002</v>
      </c>
      <c r="F60" s="71"/>
      <c r="G60" s="72">
        <f>('[1]Field Operations'!V$61+'[1]Field Operations'!V$67)*C60</f>
        <v>129198.708</v>
      </c>
      <c r="H60" s="73">
        <f>('[1]Field Operations'!V$74)*C60+'[1]Yield Summary'!E63</f>
        <v>45332.880000000005</v>
      </c>
      <c r="I60" s="76">
        <f>G60+H60</f>
        <v>174531.58799999999</v>
      </c>
      <c r="J60" s="71"/>
      <c r="K60" s="82"/>
      <c r="L60" s="74">
        <f>E60*'[1]Energy Values'!C$11*'[1]Energy Values'!E$11</f>
        <v>846863.16861696017</v>
      </c>
      <c r="M60" s="73">
        <f>E60*'[1]Energy Values'!C$11*'[1]Energy Values'!D$11</f>
        <v>3992675.0915164808</v>
      </c>
      <c r="N60" s="76">
        <f>M60-L60</f>
        <v>3145811.9228995205</v>
      </c>
      <c r="O60" s="71"/>
      <c r="P60" s="82"/>
      <c r="Q60" s="74">
        <f>P62/1.055*453.6*'[1]References &amp; Conversions'!R$7*'[1]References &amp; Conversions'!K$5</f>
        <v>487888.72037914698</v>
      </c>
      <c r="R60" s="73">
        <f>Q60*E60</f>
        <v>11823051.758821424</v>
      </c>
      <c r="S60" s="73">
        <f>N60-I60</f>
        <v>2971280.3348995205</v>
      </c>
      <c r="T60" s="72">
        <f>R60-I60</f>
        <v>11648520.170821425</v>
      </c>
      <c r="U60" s="77">
        <f>M60/(I60+L60)</f>
        <v>3.9090420874500333</v>
      </c>
      <c r="V60" s="78">
        <f>R60/I60</f>
        <v>67.741615682895315</v>
      </c>
    </row>
    <row r="61" spans="2:22" ht="12.75" customHeight="1">
      <c r="B61" s="107"/>
      <c r="C61" s="108">
        <v>0.33333000000000002</v>
      </c>
      <c r="D61" s="109">
        <f>'[1]Yield Summary'!C64</f>
        <v>80.099999999999994</v>
      </c>
      <c r="E61" s="111">
        <f>D61*C61</f>
        <v>26.699732999999998</v>
      </c>
      <c r="F61" s="71"/>
      <c r="G61" s="72">
        <f>('[1]Field Operations'!V$61+'[1]Field Operations'!V$67)*C61</f>
        <v>129198.708</v>
      </c>
      <c r="H61" s="73">
        <f>('[1]Field Operations'!V$74)*C61+'[1]Yield Summary'!E64</f>
        <v>45332.880000000005</v>
      </c>
      <c r="I61" s="76">
        <f>G61+H61</f>
        <v>174531.58799999999</v>
      </c>
      <c r="J61" s="71"/>
      <c r="K61" s="112"/>
      <c r="L61" s="74">
        <f>E61*'[1]Energy Values'!C$11*'[1]Energy Values'!E$11</f>
        <v>933063.82126848004</v>
      </c>
      <c r="M61" s="73">
        <f>E61*'[1]Energy Values'!C$11*'[1]Energy Values'!D$11</f>
        <v>4399082.1847382402</v>
      </c>
      <c r="N61" s="80">
        <f>M61-L61</f>
        <v>3466018.3634697599</v>
      </c>
      <c r="O61" s="71"/>
      <c r="P61" s="112"/>
      <c r="Q61" s="74">
        <f>P62/1.055*453.6*'[1]References &amp; Conversions'!R$7*'[1]References &amp; Conversions'!K$5</f>
        <v>487888.72037914698</v>
      </c>
      <c r="R61" s="83">
        <f>Q61*E61</f>
        <v>13026498.567834882</v>
      </c>
      <c r="S61" s="80">
        <f>N61-I61</f>
        <v>3291486.7754697599</v>
      </c>
      <c r="T61" s="83">
        <f>R61-I61</f>
        <v>12851966.979834883</v>
      </c>
      <c r="U61" s="77">
        <f>M61/(I61+L61)</f>
        <v>3.9717410779479918</v>
      </c>
      <c r="V61" s="78">
        <f>R61/I61</f>
        <v>74.636910814304187</v>
      </c>
    </row>
    <row r="62" spans="2:22" ht="12.75" customHeight="1">
      <c r="B62" s="127" t="s">
        <v>32</v>
      </c>
      <c r="C62" s="128"/>
      <c r="D62" s="129"/>
      <c r="E62" s="181">
        <f>AVERAGE(E59:E61)</f>
        <v>25.688631999999998</v>
      </c>
      <c r="F62" s="88"/>
      <c r="G62" s="132">
        <f>AVERAGE(G59:G61)</f>
        <v>129198.708</v>
      </c>
      <c r="H62" s="133">
        <f>AVERAGE(H59:H61)</f>
        <v>45332.880000000005</v>
      </c>
      <c r="I62" s="134">
        <f>AVERAGE(I59:I61)</f>
        <v>174531.58799999999</v>
      </c>
      <c r="J62" s="88"/>
      <c r="K62" s="135" t="str">
        <f>'[1]Energy Values'!B$11</f>
        <v>Biodiesel</v>
      </c>
      <c r="L62" s="133">
        <f>AVERAGE(L59:L61)</f>
        <v>897729.31950592005</v>
      </c>
      <c r="M62" s="133">
        <f>AVERAGE(M59:M61)</f>
        <v>4232491.8897689609</v>
      </c>
      <c r="N62" s="134">
        <f>AVERAGE(N59:N61)</f>
        <v>3334762.5702630407</v>
      </c>
      <c r="O62" s="88"/>
      <c r="P62" s="136">
        <v>22.25</v>
      </c>
      <c r="Q62" s="133">
        <f t="shared" ref="Q62:V62" si="8">AVERAGE(Q59:Q61)</f>
        <v>487888.72037914698</v>
      </c>
      <c r="R62" s="133">
        <f t="shared" si="8"/>
        <v>12533193.794770807</v>
      </c>
      <c r="S62" s="133">
        <f t="shared" si="8"/>
        <v>3160230.9822630403</v>
      </c>
      <c r="T62" s="133">
        <f t="shared" si="8"/>
        <v>12358662.206770808</v>
      </c>
      <c r="U62" s="137">
        <f t="shared" si="8"/>
        <v>3.9463332055011748</v>
      </c>
      <c r="V62" s="138">
        <f t="shared" si="8"/>
        <v>71.810461008186152</v>
      </c>
    </row>
    <row r="63" spans="2:22" ht="12.75" customHeight="1">
      <c r="B63" s="95"/>
      <c r="C63" s="139"/>
      <c r="D63" s="140"/>
      <c r="E63" s="140"/>
      <c r="F63" s="179"/>
      <c r="G63" s="75"/>
      <c r="H63" s="100"/>
      <c r="I63" s="75"/>
      <c r="J63" s="179"/>
      <c r="K63" s="82"/>
      <c r="L63" s="75"/>
      <c r="M63" s="100"/>
      <c r="N63" s="75"/>
      <c r="O63" s="179"/>
      <c r="P63" s="82"/>
      <c r="Q63" s="75"/>
      <c r="R63" s="100"/>
      <c r="S63" s="75"/>
      <c r="T63" s="100"/>
      <c r="U63" s="102"/>
      <c r="V63" s="103"/>
    </row>
    <row r="64" spans="2:22" ht="12.75" customHeight="1">
      <c r="B64" s="141" t="s">
        <v>33</v>
      </c>
      <c r="C64" s="142">
        <v>0.33333299999999999</v>
      </c>
      <c r="D64" s="152">
        <f>'[1]Yield Summary'!C70/1.2</f>
        <v>4005.5555555555561</v>
      </c>
      <c r="E64" s="182">
        <f>D64*C64</f>
        <v>1335.1838500000001</v>
      </c>
      <c r="F64" s="183"/>
      <c r="G64" s="146">
        <f>('[1]Field Operations'!AC$61+'[1]Field Operations'!AC$67)*C64</f>
        <v>45333.288</v>
      </c>
      <c r="H64" s="147">
        <f>'[1]Field Operations'!AC$74*C64</f>
        <v>54399.945599999999</v>
      </c>
      <c r="I64" s="146">
        <f>G64+H64</f>
        <v>99733.233600000007</v>
      </c>
      <c r="J64" s="183"/>
      <c r="K64" s="148" t="s">
        <v>34</v>
      </c>
      <c r="L64" s="149"/>
      <c r="M64" s="150"/>
      <c r="N64" s="149"/>
      <c r="O64" s="183"/>
      <c r="P64" s="151">
        <v>16.47</v>
      </c>
      <c r="Q64" s="143">
        <f>P64/'[1]References &amp; Conversions'!R$4*'[1]References &amp; Conversions'!R$5*'[1]References &amp; Conversions'!K$5</f>
        <v>6019.1215165876783</v>
      </c>
      <c r="R64" s="152">
        <f>Q64*E64</f>
        <v>8036633.840135376</v>
      </c>
      <c r="S64" s="147">
        <f>N64-I64</f>
        <v>-99733.233600000007</v>
      </c>
      <c r="T64" s="153">
        <f>R64-I64</f>
        <v>7936900.606535376</v>
      </c>
      <c r="U64" s="154">
        <f>N64/I64</f>
        <v>0</v>
      </c>
      <c r="V64" s="155">
        <f>R64/I64</f>
        <v>80.581302240413621</v>
      </c>
    </row>
    <row r="65" spans="2:22" ht="12.75" customHeight="1">
      <c r="B65" s="95"/>
      <c r="C65" s="156"/>
      <c r="D65" s="184" t="s">
        <v>35</v>
      </c>
      <c r="E65" s="185" t="s">
        <v>36</v>
      </c>
      <c r="F65" s="71"/>
      <c r="G65" s="2"/>
      <c r="H65" s="186"/>
      <c r="I65" s="2"/>
      <c r="J65" s="71"/>
      <c r="K65" s="187"/>
      <c r="L65" s="2"/>
      <c r="M65" s="186"/>
      <c r="N65" s="2"/>
      <c r="O65" s="71"/>
      <c r="P65" s="75"/>
      <c r="Q65" s="159" t="s">
        <v>37</v>
      </c>
      <c r="R65" s="160" t="s">
        <v>38</v>
      </c>
      <c r="S65" s="188"/>
      <c r="T65" s="188"/>
      <c r="U65" s="189"/>
      <c r="V65" s="193"/>
    </row>
    <row r="66" spans="2:22" ht="12.75" customHeight="1" thickBot="1">
      <c r="B66" s="194"/>
      <c r="C66" s="195"/>
      <c r="D66" s="196"/>
      <c r="E66" s="196"/>
      <c r="F66" s="197"/>
      <c r="G66" s="198"/>
      <c r="H66" s="198"/>
      <c r="I66" s="198"/>
      <c r="J66" s="197"/>
      <c r="K66" s="199"/>
      <c r="L66" s="198"/>
      <c r="M66" s="200"/>
      <c r="N66" s="198"/>
      <c r="O66" s="197"/>
      <c r="P66" s="201"/>
      <c r="Q66" s="202"/>
      <c r="R66" s="202"/>
      <c r="S66" s="202"/>
      <c r="T66" s="202"/>
      <c r="U66" s="203"/>
      <c r="V66" s="204"/>
    </row>
    <row r="67" spans="2:22">
      <c r="C67" s="205"/>
      <c r="D67" s="206"/>
      <c r="E67" s="206"/>
      <c r="F67" s="206"/>
      <c r="H67" s="2"/>
      <c r="I67" s="192"/>
      <c r="J67" s="192"/>
      <c r="K67" s="207"/>
      <c r="L67" s="192"/>
      <c r="M67" s="2"/>
      <c r="N67" s="192"/>
      <c r="O67" s="192"/>
      <c r="P67" s="208"/>
      <c r="Q67" s="189"/>
      <c r="R67" s="189"/>
      <c r="S67" s="189"/>
      <c r="T67" s="189"/>
      <c r="U67" s="189"/>
      <c r="V67" s="189"/>
    </row>
  </sheetData>
  <mergeCells count="14">
    <mergeCell ref="L3:N4"/>
    <mergeCell ref="P3:R4"/>
    <mergeCell ref="S3:T4"/>
    <mergeCell ref="U3:V4"/>
    <mergeCell ref="B2:E2"/>
    <mergeCell ref="G2:I2"/>
    <mergeCell ref="K2:N2"/>
    <mergeCell ref="P2:V2"/>
    <mergeCell ref="B3:B5"/>
    <mergeCell ref="C3:C5"/>
    <mergeCell ref="D3:D5"/>
    <mergeCell ref="E3:E5"/>
    <mergeCell ref="G3:I4"/>
    <mergeCell ref="K3:K5"/>
  </mergeCell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TOgawa</dc:creator>
  <cp:lastModifiedBy>TOgawa</cp:lastModifiedBy>
  <dcterms:created xsi:type="dcterms:W3CDTF">2012-10-31T15:46:06Z</dcterms:created>
  <dcterms:modified xsi:type="dcterms:W3CDTF">2012-10-31T15:46:28Z</dcterms:modified>
</cp:coreProperties>
</file>