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VBOXSVR\Documents\aaNormal\Grants\"/>
    </mc:Choice>
  </mc:AlternateContent>
  <xr:revisionPtr revIDLastSave="0" documentId="13_ncr:1_{90909451-EE18-4DCE-9EC6-366003454D19}" xr6:coauthVersionLast="36" xr6:coauthVersionMax="36" xr10:uidLastSave="{00000000-0000-0000-0000-000000000000}"/>
  <bookViews>
    <workbookView xWindow="0" yWindow="0" windowWidth="23040" windowHeight="8400" xr2:uid="{DCA8C1C6-9F48-9543-A5CC-5CA5F2260ECF}"/>
  </bookViews>
  <sheets>
    <sheet name="Front Page" sheetId="21" r:id="rId1"/>
    <sheet name="Budget" sheetId="19" r:id="rId2"/>
    <sheet name="Year 1 Cost" sheetId="14" r:id="rId3"/>
    <sheet name="Year 2 Cost" sheetId="20" r:id="rId4"/>
    <sheet name="Year 3 through 30 Cost" sheetId="18" r:id="rId5"/>
    <sheet name="Total Fixed Cost" sheetId="6" r:id="rId6"/>
    <sheet name="Insert Dimensions &amp; Rates" sheetId="9" r:id="rId7"/>
    <sheet name="GDC Materials" sheetId="1" r:id="rId8"/>
    <sheet name="GDC Labor" sheetId="2" r:id="rId9"/>
    <sheet name="Irrigation Materials" sheetId="4" r:id="rId10"/>
    <sheet name="Irrigation Labor" sheetId="7" r:id="rId11"/>
    <sheet name="High Tunnel Materials" sheetId="5" r:id="rId12"/>
    <sheet name="High Tunnel Labor" sheetId="8" r:id="rId13"/>
    <sheet name="Tools Necessary" sheetId="13" r:id="rId14"/>
    <sheet name="Labor Reference" sheetId="12" r:id="rId1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19" l="1"/>
  <c r="C22" i="1"/>
  <c r="B17" i="2" l="1"/>
  <c r="J28" i="9" l="1"/>
  <c r="J27" i="9"/>
  <c r="M27" i="12"/>
  <c r="M26" i="12"/>
  <c r="M14" i="12" s="1"/>
  <c r="H8" i="19" l="1"/>
  <c r="H7" i="19"/>
  <c r="H5" i="19"/>
  <c r="H2" i="19"/>
  <c r="D7" i="19"/>
  <c r="E7" i="19"/>
  <c r="C7" i="19"/>
  <c r="H46" i="20" l="1"/>
  <c r="M46" i="20"/>
  <c r="M47" i="20"/>
  <c r="M45" i="20"/>
  <c r="M44" i="20"/>
  <c r="M43" i="20"/>
  <c r="M42" i="20"/>
  <c r="M41" i="20"/>
  <c r="M40" i="20"/>
  <c r="M39" i="20"/>
  <c r="M38" i="20"/>
  <c r="T37" i="20"/>
  <c r="M37" i="20"/>
  <c r="M36" i="20"/>
  <c r="M35" i="20"/>
  <c r="T33" i="20"/>
  <c r="J32" i="20"/>
  <c r="J31" i="20"/>
  <c r="J30" i="20"/>
  <c r="J28" i="20"/>
  <c r="J27" i="20"/>
  <c r="V26" i="20"/>
  <c r="H30" i="20" s="1"/>
  <c r="J26" i="20"/>
  <c r="V25" i="20"/>
  <c r="H28" i="20" s="1"/>
  <c r="J25" i="20"/>
  <c r="V24" i="20"/>
  <c r="H23" i="20" s="1"/>
  <c r="J24" i="20"/>
  <c r="V23" i="20"/>
  <c r="H21" i="20" s="1"/>
  <c r="J23" i="20"/>
  <c r="V22" i="20"/>
  <c r="H32" i="20" s="1"/>
  <c r="J22" i="20"/>
  <c r="V21" i="20"/>
  <c r="H22" i="20" s="1"/>
  <c r="J21" i="20"/>
  <c r="V20" i="20"/>
  <c r="H29" i="20" s="1"/>
  <c r="J20" i="20"/>
  <c r="V19" i="20"/>
  <c r="J19" i="20"/>
  <c r="V18" i="20"/>
  <c r="J18" i="20"/>
  <c r="V17" i="20"/>
  <c r="J17" i="20"/>
  <c r="H17" i="20"/>
  <c r="V16" i="20"/>
  <c r="H19" i="20" s="1"/>
  <c r="J16" i="20"/>
  <c r="V15" i="20"/>
  <c r="H14" i="20" s="1"/>
  <c r="J15" i="20"/>
  <c r="H15" i="20"/>
  <c r="J14" i="20"/>
  <c r="B7" i="20"/>
  <c r="B6" i="20"/>
  <c r="B2" i="20"/>
  <c r="D4" i="19"/>
  <c r="E4" i="19"/>
  <c r="C4" i="19"/>
  <c r="H25" i="20" l="1"/>
  <c r="H31" i="20"/>
  <c r="H16" i="20"/>
  <c r="H20" i="20"/>
  <c r="H27" i="20"/>
  <c r="H18" i="20"/>
  <c r="H26" i="20"/>
  <c r="M48" i="20"/>
  <c r="H24" i="20"/>
  <c r="M46" i="18" l="1"/>
  <c r="M45" i="18"/>
  <c r="M44" i="18"/>
  <c r="M43" i="18"/>
  <c r="M42" i="18"/>
  <c r="M41" i="18"/>
  <c r="M40" i="18"/>
  <c r="M39" i="18"/>
  <c r="M38" i="18"/>
  <c r="M37" i="18"/>
  <c r="M36" i="18"/>
  <c r="M35" i="18"/>
  <c r="T37" i="18"/>
  <c r="T33" i="18"/>
  <c r="J32" i="18"/>
  <c r="J31" i="18"/>
  <c r="J30" i="18"/>
  <c r="J28" i="18"/>
  <c r="J27" i="18"/>
  <c r="V26" i="18"/>
  <c r="H30" i="18" s="1"/>
  <c r="J26" i="18"/>
  <c r="V25" i="18"/>
  <c r="H28" i="18" s="1"/>
  <c r="J25" i="18"/>
  <c r="V24" i="18"/>
  <c r="H23" i="18" s="1"/>
  <c r="J24" i="18"/>
  <c r="V23" i="18"/>
  <c r="H15" i="18" s="1"/>
  <c r="J23" i="18"/>
  <c r="V22" i="18"/>
  <c r="H32" i="18" s="1"/>
  <c r="J22" i="18"/>
  <c r="V21" i="18"/>
  <c r="H22" i="18" s="1"/>
  <c r="J21" i="18"/>
  <c r="V20" i="18"/>
  <c r="H29" i="18" s="1"/>
  <c r="J20" i="18"/>
  <c r="V19" i="18"/>
  <c r="J19" i="18"/>
  <c r="V18" i="18"/>
  <c r="J18" i="18"/>
  <c r="V17" i="18"/>
  <c r="J17" i="18"/>
  <c r="V16" i="18"/>
  <c r="J16" i="18"/>
  <c r="V15" i="18"/>
  <c r="H14" i="18" s="1"/>
  <c r="J15" i="18"/>
  <c r="J14" i="18"/>
  <c r="B7" i="18"/>
  <c r="B6" i="18"/>
  <c r="B2" i="18"/>
  <c r="M17" i="14"/>
  <c r="M18" i="14"/>
  <c r="M19" i="14"/>
  <c r="M20" i="14"/>
  <c r="M21" i="14"/>
  <c r="M22" i="14"/>
  <c r="M23" i="14"/>
  <c r="M24" i="14"/>
  <c r="B7" i="14"/>
  <c r="B6" i="14"/>
  <c r="B2" i="14"/>
  <c r="K7" i="6"/>
  <c r="K5" i="6"/>
  <c r="J7" i="4"/>
  <c r="J5" i="4"/>
  <c r="J7" i="1"/>
  <c r="B9" i="1" s="1"/>
  <c r="J6" i="1"/>
  <c r="J5" i="1"/>
  <c r="D15" i="13"/>
  <c r="D7" i="13"/>
  <c r="D8" i="13"/>
  <c r="D9" i="13"/>
  <c r="D10" i="13"/>
  <c r="D11" i="13"/>
  <c r="D12" i="13"/>
  <c r="D13" i="13"/>
  <c r="D14" i="13"/>
  <c r="D16" i="13"/>
  <c r="D17" i="13"/>
  <c r="D18" i="13"/>
  <c r="D19" i="13"/>
  <c r="D20" i="13"/>
  <c r="D21" i="13"/>
  <c r="D22" i="13"/>
  <c r="D23" i="13"/>
  <c r="D24" i="13"/>
  <c r="G26" i="5"/>
  <c r="D6" i="13"/>
  <c r="D19" i="1"/>
  <c r="D20" i="1"/>
  <c r="M23" i="12"/>
  <c r="M22" i="12"/>
  <c r="M21" i="12"/>
  <c r="M20" i="12"/>
  <c r="M19" i="12"/>
  <c r="M18" i="12"/>
  <c r="M17" i="12"/>
  <c r="M16" i="12"/>
  <c r="M15" i="12"/>
  <c r="M11" i="12"/>
  <c r="M10" i="12"/>
  <c r="B4" i="12"/>
  <c r="H20" i="18" l="1"/>
  <c r="H18" i="18"/>
  <c r="M13" i="12"/>
  <c r="M12" i="12"/>
  <c r="H25" i="18"/>
  <c r="M47" i="18"/>
  <c r="H27" i="18"/>
  <c r="H21" i="18"/>
  <c r="H26" i="18"/>
  <c r="H31" i="18"/>
  <c r="H17" i="18"/>
  <c r="H16" i="18"/>
  <c r="H24" i="18"/>
  <c r="H19" i="18"/>
  <c r="M25" i="14"/>
  <c r="B10" i="1"/>
  <c r="B11" i="1"/>
  <c r="D6" i="2"/>
  <c r="B3" i="1"/>
  <c r="D25" i="13"/>
  <c r="M24" i="12" l="1"/>
  <c r="D22" i="8"/>
  <c r="D19" i="7"/>
  <c r="D22" i="2"/>
  <c r="H4" i="6"/>
  <c r="H3" i="6"/>
  <c r="H2" i="6"/>
  <c r="J3" i="5"/>
  <c r="K3" i="5"/>
  <c r="G3" i="4"/>
  <c r="G3" i="1"/>
  <c r="C19" i="9"/>
  <c r="M5" i="5"/>
  <c r="J6" i="4"/>
  <c r="J2" i="1"/>
  <c r="C10" i="9"/>
  <c r="F20" i="1" l="1"/>
  <c r="F19" i="1"/>
  <c r="I26" i="5"/>
  <c r="K6" i="6"/>
  <c r="K3" i="6"/>
  <c r="D18" i="7"/>
  <c r="F29" i="5"/>
  <c r="F31" i="5"/>
  <c r="F32" i="5"/>
  <c r="F27" i="5"/>
  <c r="F20" i="5"/>
  <c r="F21" i="5"/>
  <c r="F22" i="5"/>
  <c r="F19" i="5"/>
  <c r="F17" i="5"/>
  <c r="F16" i="5"/>
  <c r="F15" i="5"/>
  <c r="F8" i="5"/>
  <c r="F10" i="5"/>
  <c r="F11" i="5"/>
  <c r="F12" i="5"/>
  <c r="F13" i="5"/>
  <c r="F14" i="5"/>
  <c r="F18" i="5"/>
  <c r="F23" i="5"/>
  <c r="F3" i="5"/>
  <c r="D19" i="2"/>
  <c r="I3" i="7"/>
  <c r="D5" i="7" l="1"/>
  <c r="D4" i="7"/>
  <c r="D3" i="7"/>
  <c r="D9" i="7"/>
  <c r="D8" i="7"/>
  <c r="D6" i="7"/>
  <c r="C12" i="4"/>
  <c r="C14" i="4"/>
  <c r="D9" i="4"/>
  <c r="J5" i="8" l="1"/>
  <c r="J8" i="8"/>
  <c r="J11" i="8"/>
  <c r="J13" i="8"/>
  <c r="D15" i="8"/>
  <c r="D16" i="8"/>
  <c r="D12" i="8"/>
  <c r="B11" i="8"/>
  <c r="B9" i="8"/>
  <c r="F9" i="4" l="1"/>
  <c r="E6" i="5"/>
  <c r="F6" i="5" s="1"/>
  <c r="E7" i="5"/>
  <c r="F7" i="5" s="1"/>
  <c r="E5" i="5"/>
  <c r="F5" i="5" s="1"/>
  <c r="E4" i="5"/>
  <c r="F4" i="5" s="1"/>
  <c r="E9" i="5"/>
  <c r="F9" i="5" s="1"/>
  <c r="E30" i="5"/>
  <c r="F30" i="5" s="1"/>
  <c r="E28" i="5"/>
  <c r="F28" i="5" s="1"/>
  <c r="G12" i="5"/>
  <c r="I12" i="5" s="1"/>
  <c r="G21" i="5"/>
  <c r="I21" i="5" s="1"/>
  <c r="G22" i="5"/>
  <c r="I22" i="5" s="1"/>
  <c r="G31" i="5"/>
  <c r="I31" i="5" s="1"/>
  <c r="G32" i="5"/>
  <c r="I32" i="5" s="1"/>
  <c r="M9" i="5"/>
  <c r="J9" i="8" s="1"/>
  <c r="M2" i="5"/>
  <c r="C13" i="4"/>
  <c r="D4" i="4"/>
  <c r="F4" i="4" s="1"/>
  <c r="D5" i="4"/>
  <c r="F5" i="4" s="1"/>
  <c r="D6" i="4"/>
  <c r="F6" i="4" s="1"/>
  <c r="D7" i="4"/>
  <c r="F7" i="4" s="1"/>
  <c r="D8" i="4"/>
  <c r="F8" i="4" s="1"/>
  <c r="D16" i="4"/>
  <c r="F16" i="4" s="1"/>
  <c r="D3" i="4"/>
  <c r="F3" i="4" s="1"/>
  <c r="J3" i="4"/>
  <c r="B18" i="4" l="1"/>
  <c r="D13" i="7" s="1"/>
  <c r="M6" i="5"/>
  <c r="J6" i="8" s="1"/>
  <c r="J2" i="8"/>
  <c r="C9" i="5"/>
  <c r="G9" i="5" s="1"/>
  <c r="I9" i="5" s="1"/>
  <c r="B12" i="4"/>
  <c r="B15" i="4"/>
  <c r="B17" i="4"/>
  <c r="D18" i="4" l="1"/>
  <c r="F18" i="4" s="1"/>
  <c r="D17" i="4"/>
  <c r="F17" i="4" s="1"/>
  <c r="D12" i="7"/>
  <c r="D12" i="4"/>
  <c r="F12" i="4" s="1"/>
  <c r="D10" i="7"/>
  <c r="G8" i="5"/>
  <c r="I8" i="5" s="1"/>
  <c r="D15" i="4"/>
  <c r="F15" i="4" s="1"/>
  <c r="D15" i="7"/>
  <c r="B14" i="4"/>
  <c r="D16" i="7" l="1"/>
  <c r="D14" i="4"/>
  <c r="F14" i="4" s="1"/>
  <c r="H3" i="2" l="1"/>
  <c r="C23" i="1"/>
  <c r="D11" i="1"/>
  <c r="F11" i="1" s="1"/>
  <c r="B7" i="2"/>
  <c r="B8" i="2" s="1"/>
  <c r="F24" i="5" l="1"/>
  <c r="D25" i="1" l="1"/>
  <c r="F25" i="1" s="1"/>
  <c r="C9" i="1"/>
  <c r="C8" i="1"/>
  <c r="C7" i="1"/>
  <c r="D10" i="1" l="1"/>
  <c r="F10" i="1" s="1"/>
  <c r="D9" i="1"/>
  <c r="F9" i="1" s="1"/>
  <c r="D16" i="2" l="1"/>
  <c r="D11" i="2"/>
  <c r="D10" i="2"/>
  <c r="D3" i="1"/>
  <c r="F3" i="1" s="1"/>
  <c r="H4" i="19" l="1"/>
  <c r="B3" i="18"/>
  <c r="B4" i="18" s="1"/>
  <c r="L45" i="18" l="1"/>
  <c r="N45" i="18" s="1"/>
  <c r="O45" i="18" s="1"/>
  <c r="L37" i="18"/>
  <c r="N37" i="18" s="1"/>
  <c r="O37" i="18" s="1"/>
  <c r="L42" i="18"/>
  <c r="N42" i="18" s="1"/>
  <c r="O42" i="18" s="1"/>
  <c r="L41" i="18"/>
  <c r="N41" i="18" s="1"/>
  <c r="O41" i="18" s="1"/>
  <c r="L44" i="18"/>
  <c r="N44" i="18" s="1"/>
  <c r="O44" i="18" s="1"/>
  <c r="L39" i="18"/>
  <c r="N39" i="18" s="1"/>
  <c r="O39" i="18" s="1"/>
  <c r="B5" i="18"/>
  <c r="L46" i="18"/>
  <c r="N46" i="18" s="1"/>
  <c r="O46" i="18" s="1"/>
  <c r="L35" i="18"/>
  <c r="L38" i="18"/>
  <c r="N38" i="18" s="1"/>
  <c r="O38" i="18" s="1"/>
  <c r="L43" i="18"/>
  <c r="N43" i="18" s="1"/>
  <c r="O43" i="18" s="1"/>
  <c r="L36" i="18"/>
  <c r="N36" i="18" s="1"/>
  <c r="O36" i="18" s="1"/>
  <c r="L40" i="18"/>
  <c r="N40" i="18" s="1"/>
  <c r="O40" i="18" s="1"/>
  <c r="C8" i="9"/>
  <c r="B3" i="20"/>
  <c r="B4" i="20" s="1"/>
  <c r="J3" i="1"/>
  <c r="B3" i="14"/>
  <c r="B4" i="14" s="1"/>
  <c r="C9" i="9"/>
  <c r="B8" i="1" l="1"/>
  <c r="D8" i="1" s="1"/>
  <c r="F8" i="1" s="1"/>
  <c r="J2" i="4"/>
  <c r="H2" i="2"/>
  <c r="I2" i="7"/>
  <c r="M3" i="5"/>
  <c r="B7" i="1"/>
  <c r="D7" i="1" s="1"/>
  <c r="F7" i="1" s="1"/>
  <c r="K2" i="6"/>
  <c r="B23" i="1"/>
  <c r="L39" i="20"/>
  <c r="N39" i="20" s="1"/>
  <c r="O39" i="20" s="1"/>
  <c r="B5" i="20"/>
  <c r="L38" i="20"/>
  <c r="N38" i="20" s="1"/>
  <c r="O38" i="20" s="1"/>
  <c r="L47" i="20"/>
  <c r="N47" i="20" s="1"/>
  <c r="O47" i="20" s="1"/>
  <c r="L40" i="20"/>
  <c r="N40" i="20" s="1"/>
  <c r="O40" i="20" s="1"/>
  <c r="L44" i="20"/>
  <c r="N44" i="20" s="1"/>
  <c r="O44" i="20" s="1"/>
  <c r="L43" i="20"/>
  <c r="N43" i="20" s="1"/>
  <c r="O43" i="20" s="1"/>
  <c r="L45" i="20"/>
  <c r="N45" i="20" s="1"/>
  <c r="O45" i="20" s="1"/>
  <c r="L41" i="20"/>
  <c r="N41" i="20" s="1"/>
  <c r="O41" i="20" s="1"/>
  <c r="L37" i="20"/>
  <c r="N37" i="20" s="1"/>
  <c r="O37" i="20" s="1"/>
  <c r="L42" i="20"/>
  <c r="N42" i="20" s="1"/>
  <c r="O42" i="20" s="1"/>
  <c r="L36" i="20"/>
  <c r="N36" i="20" s="1"/>
  <c r="O36" i="20" s="1"/>
  <c r="L35" i="20"/>
  <c r="F30" i="18"/>
  <c r="I30" i="18" s="1"/>
  <c r="K30" i="18" s="1"/>
  <c r="O30" i="18" s="1"/>
  <c r="F25" i="18"/>
  <c r="I25" i="18" s="1"/>
  <c r="K25" i="18" s="1"/>
  <c r="O25" i="18" s="1"/>
  <c r="F32" i="18"/>
  <c r="I32" i="18" s="1"/>
  <c r="K32" i="18" s="1"/>
  <c r="O32" i="18" s="1"/>
  <c r="F24" i="18"/>
  <c r="I24" i="18" s="1"/>
  <c r="K24" i="18" s="1"/>
  <c r="O24" i="18" s="1"/>
  <c r="F27" i="18"/>
  <c r="I27" i="18" s="1"/>
  <c r="K27" i="18" s="1"/>
  <c r="O27" i="18" s="1"/>
  <c r="F28" i="18"/>
  <c r="I28" i="18" s="1"/>
  <c r="K28" i="18" s="1"/>
  <c r="O28" i="18" s="1"/>
  <c r="F19" i="18"/>
  <c r="I19" i="18" s="1"/>
  <c r="K19" i="18" s="1"/>
  <c r="O19" i="18" s="1"/>
  <c r="F22" i="18"/>
  <c r="I22" i="18" s="1"/>
  <c r="K22" i="18" s="1"/>
  <c r="O22" i="18" s="1"/>
  <c r="F21" i="18"/>
  <c r="I21" i="18" s="1"/>
  <c r="K21" i="18" s="1"/>
  <c r="O21" i="18" s="1"/>
  <c r="F14" i="18"/>
  <c r="I14" i="18" s="1"/>
  <c r="K14" i="18" s="1"/>
  <c r="F31" i="18"/>
  <c r="I31" i="18" s="1"/>
  <c r="K31" i="18" s="1"/>
  <c r="O31" i="18" s="1"/>
  <c r="F29" i="18"/>
  <c r="I29" i="18" s="1"/>
  <c r="K29" i="18" s="1"/>
  <c r="O29" i="18" s="1"/>
  <c r="F15" i="18"/>
  <c r="I15" i="18" s="1"/>
  <c r="K15" i="18" s="1"/>
  <c r="O15" i="18" s="1"/>
  <c r="F18" i="18"/>
  <c r="I18" i="18" s="1"/>
  <c r="K18" i="18" s="1"/>
  <c r="O18" i="18" s="1"/>
  <c r="F26" i="18"/>
  <c r="I26" i="18" s="1"/>
  <c r="K26" i="18" s="1"/>
  <c r="O26" i="18" s="1"/>
  <c r="F16" i="18"/>
  <c r="I16" i="18" s="1"/>
  <c r="K16" i="18" s="1"/>
  <c r="O16" i="18" s="1"/>
  <c r="F17" i="18"/>
  <c r="I17" i="18" s="1"/>
  <c r="K17" i="18" s="1"/>
  <c r="O17" i="18" s="1"/>
  <c r="F20" i="18"/>
  <c r="I20" i="18" s="1"/>
  <c r="K20" i="18" s="1"/>
  <c r="O20" i="18" s="1"/>
  <c r="F23" i="18"/>
  <c r="I23" i="18" s="1"/>
  <c r="K23" i="18" s="1"/>
  <c r="O23" i="18" s="1"/>
  <c r="J4" i="1"/>
  <c r="C12" i="9"/>
  <c r="L24" i="14"/>
  <c r="N24" i="14" s="1"/>
  <c r="O24" i="14" s="1"/>
  <c r="L19" i="14"/>
  <c r="N19" i="14" s="1"/>
  <c r="O19" i="14" s="1"/>
  <c r="L20" i="14"/>
  <c r="N20" i="14" s="1"/>
  <c r="O20" i="14" s="1"/>
  <c r="L18" i="14"/>
  <c r="N18" i="14" s="1"/>
  <c r="O18" i="14" s="1"/>
  <c r="L17" i="14"/>
  <c r="B5" i="14"/>
  <c r="L23" i="14"/>
  <c r="N23" i="14" s="1"/>
  <c r="O23" i="14" s="1"/>
  <c r="L22" i="14"/>
  <c r="N22" i="14" s="1"/>
  <c r="O22" i="14" s="1"/>
  <c r="L21" i="14"/>
  <c r="N21" i="14" s="1"/>
  <c r="O21" i="14" s="1"/>
  <c r="L47" i="18"/>
  <c r="N35" i="18"/>
  <c r="B24" i="1" l="1"/>
  <c r="D23" i="1"/>
  <c r="F23" i="1" s="1"/>
  <c r="K33" i="18"/>
  <c r="O33" i="18" s="1"/>
  <c r="O14" i="18"/>
  <c r="N35" i="20"/>
  <c r="M14" i="5"/>
  <c r="C24" i="5"/>
  <c r="G24" i="5" s="1"/>
  <c r="I24" i="5" s="1"/>
  <c r="C7" i="5"/>
  <c r="B13" i="8"/>
  <c r="D13" i="8" s="1"/>
  <c r="C29" i="5"/>
  <c r="C25" i="5"/>
  <c r="D14" i="8"/>
  <c r="C23" i="5"/>
  <c r="G23" i="5" s="1"/>
  <c r="I23" i="5" s="1"/>
  <c r="J3" i="8"/>
  <c r="B3" i="8" s="1"/>
  <c r="C16" i="5"/>
  <c r="M7" i="5"/>
  <c r="C6" i="5"/>
  <c r="L25" i="14"/>
  <c r="N17" i="14"/>
  <c r="B15" i="2"/>
  <c r="D15" i="2" s="1"/>
  <c r="B4" i="2"/>
  <c r="D4" i="2" s="1"/>
  <c r="B14" i="2"/>
  <c r="D14" i="2" s="1"/>
  <c r="N47" i="18"/>
  <c r="O47" i="18" s="1"/>
  <c r="E13" i="19" s="1"/>
  <c r="O35" i="18"/>
  <c r="C17" i="9"/>
  <c r="B22" i="1"/>
  <c r="H6" i="19"/>
  <c r="F19" i="20"/>
  <c r="I19" i="20" s="1"/>
  <c r="K19" i="20" s="1"/>
  <c r="O19" i="20" s="1"/>
  <c r="F14" i="20"/>
  <c r="I14" i="20" s="1"/>
  <c r="K14" i="20" s="1"/>
  <c r="F17" i="20"/>
  <c r="I17" i="20" s="1"/>
  <c r="K17" i="20" s="1"/>
  <c r="O17" i="20" s="1"/>
  <c r="F18" i="20"/>
  <c r="I18" i="20" s="1"/>
  <c r="K18" i="20" s="1"/>
  <c r="O18" i="20" s="1"/>
  <c r="F29" i="20"/>
  <c r="I29" i="20" s="1"/>
  <c r="K29" i="20" s="1"/>
  <c r="O29" i="20" s="1"/>
  <c r="F30" i="20"/>
  <c r="I30" i="20" s="1"/>
  <c r="K30" i="20" s="1"/>
  <c r="O30" i="20" s="1"/>
  <c r="F25" i="20"/>
  <c r="I25" i="20" s="1"/>
  <c r="K25" i="20" s="1"/>
  <c r="O25" i="20" s="1"/>
  <c r="F21" i="20"/>
  <c r="I21" i="20" s="1"/>
  <c r="K21" i="20" s="1"/>
  <c r="O21" i="20" s="1"/>
  <c r="F24" i="20"/>
  <c r="I24" i="20" s="1"/>
  <c r="K24" i="20" s="1"/>
  <c r="O24" i="20" s="1"/>
  <c r="F27" i="20"/>
  <c r="I27" i="20" s="1"/>
  <c r="K27" i="20" s="1"/>
  <c r="O27" i="20" s="1"/>
  <c r="F16" i="20"/>
  <c r="I16" i="20" s="1"/>
  <c r="K16" i="20" s="1"/>
  <c r="O16" i="20" s="1"/>
  <c r="F22" i="20"/>
  <c r="I22" i="20" s="1"/>
  <c r="K22" i="20" s="1"/>
  <c r="O22" i="20" s="1"/>
  <c r="F31" i="20"/>
  <c r="I31" i="20" s="1"/>
  <c r="K31" i="20" s="1"/>
  <c r="O31" i="20" s="1"/>
  <c r="F15" i="20"/>
  <c r="I15" i="20" s="1"/>
  <c r="K15" i="20" s="1"/>
  <c r="O15" i="20" s="1"/>
  <c r="F23" i="20"/>
  <c r="I23" i="20" s="1"/>
  <c r="K23" i="20" s="1"/>
  <c r="O23" i="20" s="1"/>
  <c r="F20" i="20"/>
  <c r="I20" i="20" s="1"/>
  <c r="K20" i="20" s="1"/>
  <c r="O20" i="20" s="1"/>
  <c r="F26" i="20"/>
  <c r="I26" i="20" s="1"/>
  <c r="K26" i="20" s="1"/>
  <c r="O26" i="20" s="1"/>
  <c r="F28" i="20"/>
  <c r="I28" i="20" s="1"/>
  <c r="K28" i="20" s="1"/>
  <c r="O28" i="20" s="1"/>
  <c r="F32" i="20"/>
  <c r="I32" i="20" s="1"/>
  <c r="K32" i="20" s="1"/>
  <c r="O32" i="20" s="1"/>
  <c r="K4" i="6"/>
  <c r="K8" i="6" s="1"/>
  <c r="B4" i="1"/>
  <c r="M4" i="5"/>
  <c r="J4" i="8" s="1"/>
  <c r="J4" i="4"/>
  <c r="J8" i="4" s="1"/>
  <c r="B13" i="4" s="1"/>
  <c r="D3" i="8" l="1"/>
  <c r="J14" i="8"/>
  <c r="G18" i="5"/>
  <c r="I18" i="5" s="1"/>
  <c r="O14" i="20"/>
  <c r="K33" i="20"/>
  <c r="O33" i="20" s="1"/>
  <c r="O35" i="20"/>
  <c r="G16" i="5"/>
  <c r="I16" i="5" s="1"/>
  <c r="C17" i="5"/>
  <c r="G17" i="5" s="1"/>
  <c r="I17" i="5" s="1"/>
  <c r="D19" i="8"/>
  <c r="G25" i="5"/>
  <c r="I25" i="5" s="1"/>
  <c r="D17" i="2"/>
  <c r="D22" i="1"/>
  <c r="F22" i="1" s="1"/>
  <c r="C30" i="5"/>
  <c r="D11" i="8"/>
  <c r="C27" i="5"/>
  <c r="G29" i="5"/>
  <c r="I29" i="5" s="1"/>
  <c r="O48" i="18"/>
  <c r="E12" i="19"/>
  <c r="E14" i="19" s="1"/>
  <c r="K9" i="6"/>
  <c r="J9" i="4"/>
  <c r="B8" i="14"/>
  <c r="B8" i="18"/>
  <c r="H9" i="19"/>
  <c r="D18" i="2"/>
  <c r="B21" i="1"/>
  <c r="D21" i="1" s="1"/>
  <c r="F21" i="1" s="1"/>
  <c r="I46" i="20"/>
  <c r="B8" i="20"/>
  <c r="G6" i="5"/>
  <c r="I6" i="5" s="1"/>
  <c r="M10" i="5"/>
  <c r="N25" i="14"/>
  <c r="O25" i="14" s="1"/>
  <c r="O17" i="14"/>
  <c r="D13" i="4"/>
  <c r="F13" i="4" s="1"/>
  <c r="D11" i="7"/>
  <c r="B14" i="1"/>
  <c r="D14" i="1" s="1"/>
  <c r="F14" i="1" s="1"/>
  <c r="B12" i="1"/>
  <c r="D12" i="1" s="1"/>
  <c r="F12" i="1" s="1"/>
  <c r="D5" i="2"/>
  <c r="B5" i="1"/>
  <c r="B18" i="1"/>
  <c r="D18" i="1" s="1"/>
  <c r="F18" i="1" s="1"/>
  <c r="D8" i="2"/>
  <c r="D12" i="2"/>
  <c r="D7" i="2"/>
  <c r="D4" i="1"/>
  <c r="B16" i="1"/>
  <c r="D16" i="1" s="1"/>
  <c r="F16" i="1" s="1"/>
  <c r="D13" i="2"/>
  <c r="D9" i="2"/>
  <c r="C3" i="5"/>
  <c r="C15" i="5"/>
  <c r="G15" i="5" s="1"/>
  <c r="I15" i="5" s="1"/>
  <c r="D17" i="8"/>
  <c r="D6" i="8"/>
  <c r="C5" i="5"/>
  <c r="G5" i="5" s="1"/>
  <c r="I5" i="5" s="1"/>
  <c r="D7" i="8"/>
  <c r="C4" i="5"/>
  <c r="G4" i="5" s="1"/>
  <c r="I4" i="5" s="1"/>
  <c r="D8" i="8"/>
  <c r="J7" i="8"/>
  <c r="M12" i="5"/>
  <c r="J12" i="8" s="1"/>
  <c r="G7" i="5"/>
  <c r="I7" i="5" s="1"/>
  <c r="D24" i="1"/>
  <c r="F24" i="1" s="1"/>
  <c r="D3" i="2"/>
  <c r="C13" i="5" l="1"/>
  <c r="G13" i="5" s="1"/>
  <c r="I13" i="5" s="1"/>
  <c r="C13" i="19"/>
  <c r="D5" i="1"/>
  <c r="F5" i="1" s="1"/>
  <c r="B6" i="1"/>
  <c r="D9" i="8"/>
  <c r="D10" i="8"/>
  <c r="J10" i="8"/>
  <c r="I13" i="14"/>
  <c r="I14" i="14"/>
  <c r="C28" i="5"/>
  <c r="G30" i="5"/>
  <c r="I30" i="5" s="1"/>
  <c r="D12" i="19"/>
  <c r="D5" i="8"/>
  <c r="C19" i="5"/>
  <c r="G19" i="5" s="1"/>
  <c r="I19" i="5" s="1"/>
  <c r="C20" i="5"/>
  <c r="C10" i="5"/>
  <c r="G10" i="5" s="1"/>
  <c r="I10" i="5" s="1"/>
  <c r="C11" i="5"/>
  <c r="G11" i="5" s="1"/>
  <c r="I11" i="5" s="1"/>
  <c r="G3" i="5"/>
  <c r="D20" i="2"/>
  <c r="D23" i="2" s="1"/>
  <c r="B3" i="6" s="1"/>
  <c r="K46" i="20"/>
  <c r="D11" i="19" s="1"/>
  <c r="L46" i="20"/>
  <c r="F4" i="1"/>
  <c r="D4" i="8"/>
  <c r="G27" i="5"/>
  <c r="I27" i="5" s="1"/>
  <c r="B10" i="4"/>
  <c r="B11" i="4"/>
  <c r="B5" i="6" l="1"/>
  <c r="B13" i="1"/>
  <c r="D13" i="1" s="1"/>
  <c r="F13" i="1" s="1"/>
  <c r="B17" i="1"/>
  <c r="D17" i="1" s="1"/>
  <c r="F17" i="1" s="1"/>
  <c r="B15" i="1"/>
  <c r="D15" i="1" s="1"/>
  <c r="F15" i="1" s="1"/>
  <c r="D6" i="1"/>
  <c r="F6" i="1" s="1"/>
  <c r="D18" i="8"/>
  <c r="D20" i="8" s="1"/>
  <c r="D23" i="8" s="1"/>
  <c r="D3" i="6" s="1"/>
  <c r="D5" i="6" s="1"/>
  <c r="G20" i="5"/>
  <c r="I20" i="5" s="1"/>
  <c r="N46" i="20"/>
  <c r="L48" i="20"/>
  <c r="D11" i="4"/>
  <c r="F11" i="4" s="1"/>
  <c r="D14" i="7"/>
  <c r="C3" i="19"/>
  <c r="I15" i="14"/>
  <c r="E3" i="19"/>
  <c r="D3" i="19"/>
  <c r="K13" i="14"/>
  <c r="D7" i="7"/>
  <c r="D10" i="4"/>
  <c r="G28" i="5"/>
  <c r="I28" i="5" s="1"/>
  <c r="C14" i="5"/>
  <c r="G14" i="5" s="1"/>
  <c r="I14" i="5" s="1"/>
  <c r="I3" i="5"/>
  <c r="E6" i="19"/>
  <c r="E8" i="19" s="1"/>
  <c r="K14" i="14"/>
  <c r="O14" i="14" s="1"/>
  <c r="D6" i="19"/>
  <c r="D8" i="19" s="1"/>
  <c r="C6" i="19"/>
  <c r="C8" i="19" s="1"/>
  <c r="F26" i="1" l="1"/>
  <c r="B4" i="6" s="1"/>
  <c r="E15" i="19"/>
  <c r="C15" i="19"/>
  <c r="D15" i="19"/>
  <c r="C9" i="19"/>
  <c r="C5" i="19"/>
  <c r="C10" i="19" s="1"/>
  <c r="K15" i="14"/>
  <c r="O13" i="14"/>
  <c r="O15" i="14" s="1"/>
  <c r="D5" i="19"/>
  <c r="D10" i="19" s="1"/>
  <c r="D9" i="19"/>
  <c r="D19" i="4"/>
  <c r="C2" i="6" s="1"/>
  <c r="F10" i="4"/>
  <c r="F19" i="4" s="1"/>
  <c r="C4" i="6" s="1"/>
  <c r="E4" i="6" s="1"/>
  <c r="D17" i="7"/>
  <c r="D20" i="7" s="1"/>
  <c r="C3" i="6" s="1"/>
  <c r="D26" i="1"/>
  <c r="B2" i="6" s="1"/>
  <c r="O46" i="20"/>
  <c r="N48" i="20"/>
  <c r="O48" i="20" s="1"/>
  <c r="G33" i="5"/>
  <c r="I33" i="5"/>
  <c r="D4" i="6" s="1"/>
  <c r="E5" i="19"/>
  <c r="E10" i="19" s="1"/>
  <c r="E9" i="19"/>
  <c r="B7" i="6" l="1"/>
  <c r="B6" i="6"/>
  <c r="C5" i="6"/>
  <c r="E5" i="6" s="1"/>
  <c r="E3" i="6"/>
  <c r="C7" i="6"/>
  <c r="C6" i="6"/>
  <c r="G34" i="5"/>
  <c r="D2" i="6"/>
  <c r="D17" i="19"/>
  <c r="E17" i="19"/>
  <c r="C17" i="19"/>
  <c r="D13" i="19"/>
  <c r="D14" i="19" s="1"/>
  <c r="O49" i="20"/>
  <c r="C11" i="19"/>
  <c r="C14" i="19" s="1"/>
  <c r="O26" i="14"/>
  <c r="D16" i="19" l="1"/>
  <c r="E16" i="19"/>
  <c r="C16" i="19"/>
  <c r="D6" i="6"/>
  <c r="E6" i="6" s="1"/>
  <c r="D7" i="6"/>
  <c r="E7" i="6" s="1"/>
  <c r="E2" i="6"/>
  <c r="D18" i="19" l="1"/>
  <c r="D20" i="19" s="1"/>
  <c r="D21" i="19" s="1"/>
  <c r="D22" i="19" s="1"/>
  <c r="C18" i="19"/>
  <c r="C20" i="19" s="1"/>
  <c r="C21" i="19" s="1"/>
  <c r="C22" i="19" s="1"/>
  <c r="C24" i="19" s="1"/>
  <c r="D23" i="19" s="1"/>
  <c r="E18" i="19"/>
  <c r="E8" i="6"/>
  <c r="D24" i="19" l="1"/>
  <c r="E19" i="19" s="1"/>
  <c r="E20" i="19" s="1"/>
  <c r="E21" i="19" s="1"/>
  <c r="E26" i="19" l="1"/>
  <c r="E25" i="19"/>
  <c r="E22" i="19"/>
</calcChain>
</file>

<file path=xl/sharedStrings.xml><?xml version="1.0" encoding="utf-8"?>
<sst xmlns="http://schemas.openxmlformats.org/spreadsheetml/2006/main" count="1176" uniqueCount="463">
  <si>
    <t>Materials</t>
  </si>
  <si>
    <t>End Post (9'X5")</t>
  </si>
  <si>
    <t>Geneva Double Curtain Trellis</t>
  </si>
  <si>
    <t>Line Post (8'X4")</t>
  </si>
  <si>
    <t>Support Arms for Crossarm (roughly 9"s)</t>
  </si>
  <si>
    <t>Quantity</t>
  </si>
  <si>
    <t>Tools</t>
  </si>
  <si>
    <t>Crescent Wrench</t>
  </si>
  <si>
    <t>Drill Bit Set</t>
  </si>
  <si>
    <t>Width (ft)</t>
  </si>
  <si>
    <t>Length (ft)</t>
  </si>
  <si>
    <t>Line Post (ft) (Beginning to End)</t>
  </si>
  <si>
    <t>Post Spacing (ft)</t>
  </si>
  <si>
    <t>Rows</t>
  </si>
  <si>
    <t>Price/ Unit</t>
  </si>
  <si>
    <t>Total Price</t>
  </si>
  <si>
    <t>Price for Material</t>
  </si>
  <si>
    <t>Galvinized Wire (9 GA) (ft)</t>
  </si>
  <si>
    <t>Galvinized Wire (12.5 GA) (ft)</t>
  </si>
  <si>
    <t>Price Per Unit/Foot</t>
  </si>
  <si>
    <t>Wheel Barrel</t>
  </si>
  <si>
    <t>Shovel</t>
  </si>
  <si>
    <t>Socket Set (Standard and Metric Combo)</t>
  </si>
  <si>
    <t>Fencing Pliers (With wire cutter)</t>
  </si>
  <si>
    <t>Driving Drill Bit Set</t>
  </si>
  <si>
    <t>Staple Gun</t>
  </si>
  <si>
    <t>Staples (1,250 Pack) (3/8" by 3/8")</t>
  </si>
  <si>
    <t>String</t>
  </si>
  <si>
    <t>Labor Hours/ Installation for GDC</t>
  </si>
  <si>
    <t>Drive Stakes</t>
  </si>
  <si>
    <t>Set String</t>
  </si>
  <si>
    <t>Task</t>
  </si>
  <si>
    <t>Minutes</t>
  </si>
  <si>
    <t>Hours</t>
  </si>
  <si>
    <t>Unit</t>
  </si>
  <si>
    <t>Total Time</t>
  </si>
  <si>
    <t>Distribute End Post</t>
  </si>
  <si>
    <t>Drive Line Post</t>
  </si>
  <si>
    <t>Auger and Set End Post</t>
  </si>
  <si>
    <t>Galvanized Bolts (3/8"X8")</t>
  </si>
  <si>
    <t>Fence Strainer</t>
  </si>
  <si>
    <t>Turnbuckle (For End Post)</t>
  </si>
  <si>
    <t>Drill Set (2 Drills, 2 Batteries, 1 Charger)</t>
  </si>
  <si>
    <t>Drill Holes (For Wire to pass through)</t>
  </si>
  <si>
    <t>Per Post</t>
  </si>
  <si>
    <t>Hammer</t>
  </si>
  <si>
    <t>Distrubute Line Post</t>
  </si>
  <si>
    <t>Attach the Line Wire</t>
  </si>
  <si>
    <t>Attach the Training Wire</t>
  </si>
  <si>
    <t>Per Stake</t>
  </si>
  <si>
    <t>Mark Post Locations</t>
  </si>
  <si>
    <t>Attach Cross Arms and Support Arms</t>
  </si>
  <si>
    <t>Distrubute Cross Arms/ Support Arms</t>
  </si>
  <si>
    <t>Per Anchor</t>
  </si>
  <si>
    <t>Per Foot</t>
  </si>
  <si>
    <t>Distribute and Drive Anchors</t>
  </si>
  <si>
    <t>Per End Post</t>
  </si>
  <si>
    <t>Attach Turnbuckles</t>
  </si>
  <si>
    <t>Attach Fence Strainers (2 for each row)</t>
  </si>
  <si>
    <t>Per Strainer</t>
  </si>
  <si>
    <t>Galvanized Bolts (3/16"X 2.5") (25 Pack)</t>
  </si>
  <si>
    <t>Grade Stakes (Every 50 ft)</t>
  </si>
  <si>
    <t>Tape Measure (200ft)</t>
  </si>
  <si>
    <t>Drip Irrigation</t>
  </si>
  <si>
    <t>Price Per Unit/ Foot</t>
  </si>
  <si>
    <t>Pressure Gauge</t>
  </si>
  <si>
    <t>Electric Pump 3hp</t>
  </si>
  <si>
    <t>Drip Tape Hole Puncher</t>
  </si>
  <si>
    <t>Emitters (0.5 GPH)</t>
  </si>
  <si>
    <t>Tees</t>
  </si>
  <si>
    <t>Elbows</t>
  </si>
  <si>
    <t>Pressure Regulator (25 PSI)</t>
  </si>
  <si>
    <t>Shut-off Valve</t>
  </si>
  <si>
    <t>Back Flow Prevention Valve</t>
  </si>
  <si>
    <t>Plants</t>
  </si>
  <si>
    <t>Line Post (Beginning to End) (ft)</t>
  </si>
  <si>
    <t>Plant Spacing (ft)</t>
  </si>
  <si>
    <t>Row Spacing (ft)</t>
  </si>
  <si>
    <t>Row Length (ft)</t>
  </si>
  <si>
    <t>Total Time/ Task</t>
  </si>
  <si>
    <t>High Tunnel Labor Cost</t>
  </si>
  <si>
    <t>Size</t>
  </si>
  <si>
    <t>1 7/8" X 3'. 18 Gauge</t>
  </si>
  <si>
    <t>1 5/8". 18 Gauge</t>
  </si>
  <si>
    <t>Tubing- For Anchors</t>
  </si>
  <si>
    <t>Tubing- For Bows</t>
  </si>
  <si>
    <t>Tubing- For Purlines</t>
  </si>
  <si>
    <t>1 3/8". 18 Gauge</t>
  </si>
  <si>
    <t>Tubing- For Wind Braces</t>
  </si>
  <si>
    <t>Tubing- For Roll Up Sides</t>
  </si>
  <si>
    <t>Tubing- For Doors</t>
  </si>
  <si>
    <t>Dimensions of the High Tunnel</t>
  </si>
  <si>
    <t>Bow Spacing (ft)</t>
  </si>
  <si>
    <t>Circumference of one Bow</t>
  </si>
  <si>
    <t>Number of Bows Needed</t>
  </si>
  <si>
    <t>1 3/8" X 21'. 18 Gauge</t>
  </si>
  <si>
    <t>Measurement</t>
  </si>
  <si>
    <t>Units</t>
  </si>
  <si>
    <t>Feet</t>
  </si>
  <si>
    <t>Carriage Bolts</t>
  </si>
  <si>
    <t>Nuts</t>
  </si>
  <si>
    <t>Post Driver- For Anchor</t>
  </si>
  <si>
    <t>2" End Cap</t>
  </si>
  <si>
    <t>Self Tapping Screws</t>
  </si>
  <si>
    <t>Cross Connectors- For Purlines</t>
  </si>
  <si>
    <t>Wire Spring Lock- For Cover</t>
  </si>
  <si>
    <t>Polyethylene- For Cover</t>
  </si>
  <si>
    <t>Pipe Strap</t>
  </si>
  <si>
    <t>Polyester Cord</t>
  </si>
  <si>
    <t>1 7/8"</t>
  </si>
  <si>
    <t>1 5/8"</t>
  </si>
  <si>
    <t>Hand Crank</t>
  </si>
  <si>
    <t>Ratchet Straps</t>
  </si>
  <si>
    <t>Treated Lumber- For Base Board</t>
  </si>
  <si>
    <t>Treated Lumber- For Hip Board</t>
  </si>
  <si>
    <t>Treated Lumber- For Door</t>
  </si>
  <si>
    <t>Number of Purlines</t>
  </si>
  <si>
    <t>Number of Tubes on One Purline</t>
  </si>
  <si>
    <t>Number of Roll Up Sides</t>
  </si>
  <si>
    <t>Number of Tubes on One Roll Up Side</t>
  </si>
  <si>
    <t>Length of One Tube for Roll Up Side</t>
  </si>
  <si>
    <t>Length of One Tube for Purlines</t>
  </si>
  <si>
    <t>2' X 4' X 12'</t>
  </si>
  <si>
    <t>Treated Lumber- Connectors for Hip Board</t>
  </si>
  <si>
    <t>Treated lumber- Connectors For Base Board</t>
  </si>
  <si>
    <t>2' X 6' X 12'</t>
  </si>
  <si>
    <t>4' X 4' X 16'</t>
  </si>
  <si>
    <t>4' X 4' X 12'</t>
  </si>
  <si>
    <t>1'</t>
  </si>
  <si>
    <t>8'</t>
  </si>
  <si>
    <t>4'</t>
  </si>
  <si>
    <t xml:space="preserve"> 1/8" X 1,000'</t>
  </si>
  <si>
    <t>Curtain With Sealed Seam- For Roll Up Sides</t>
  </si>
  <si>
    <t>6' Wide</t>
  </si>
  <si>
    <t>Feet in Length</t>
  </si>
  <si>
    <t>40' X 250'</t>
  </si>
  <si>
    <t>2009 Price Per Unit/ Foot</t>
  </si>
  <si>
    <t>2020 Price Per Unit/ Foot</t>
  </si>
  <si>
    <t>1' Connectors/ 2' X 6'</t>
  </si>
  <si>
    <t>1' Connectors/ 2' X 4'</t>
  </si>
  <si>
    <t>Polyethylene Cover Length</t>
  </si>
  <si>
    <t>NA</t>
  </si>
  <si>
    <t>Circular Saw</t>
  </si>
  <si>
    <t>Razor Blade</t>
  </si>
  <si>
    <t>Pipe Bender</t>
  </si>
  <si>
    <t>Ladder</t>
  </si>
  <si>
    <t>Pliers</t>
  </si>
  <si>
    <t>Install Base Board</t>
  </si>
  <si>
    <t>Connect Bows</t>
  </si>
  <si>
    <t>Connect Purlines</t>
  </si>
  <si>
    <t>Install Hip Board</t>
  </si>
  <si>
    <t>Install Pipe Straps</t>
  </si>
  <si>
    <t>Install Ratchet Straps</t>
  </si>
  <si>
    <t>Install Wind Braces</t>
  </si>
  <si>
    <t>Attach Cover</t>
  </si>
  <si>
    <t>Install Door</t>
  </si>
  <si>
    <t>Install Hand Crank</t>
  </si>
  <si>
    <t>Attach Polyester Cord</t>
  </si>
  <si>
    <t>Mark Boundary (Set String, etc.)</t>
  </si>
  <si>
    <t>Per Connection</t>
  </si>
  <si>
    <t>Drive and Set Anchors</t>
  </si>
  <si>
    <t>Per Bow</t>
  </si>
  <si>
    <t>Per Connector</t>
  </si>
  <si>
    <t>Cut and Bend 8" Connectors for Bows</t>
  </si>
  <si>
    <t>Cut Bow Tubing to Length Needed</t>
  </si>
  <si>
    <t>Cut Purline Tubing to Length Needed</t>
  </si>
  <si>
    <t>Per Tube</t>
  </si>
  <si>
    <t>Per Brace</t>
  </si>
  <si>
    <t>Per Side</t>
  </si>
  <si>
    <t>Per Door</t>
  </si>
  <si>
    <t>Per Crank</t>
  </si>
  <si>
    <t>Per Strap</t>
  </si>
  <si>
    <t>Construct and Attach Roll Up Sides</t>
  </si>
  <si>
    <t xml:space="preserve">Per Cord </t>
  </si>
  <si>
    <t>Expected Years of Life</t>
  </si>
  <si>
    <t>Amortization Charge</t>
  </si>
  <si>
    <t>Interest Rate</t>
  </si>
  <si>
    <t>Galvanized Nuts (3/8") (Box of 25)</t>
  </si>
  <si>
    <t>Galvanized Nuts (3/16") (Box of 25)</t>
  </si>
  <si>
    <t>Galvanized Washers (3/8") (Box of 25)</t>
  </si>
  <si>
    <t>Galvanized Washers (3/16") (Box of 25)</t>
  </si>
  <si>
    <t>Galvanized Lag Screws (3/8" X 3") (Box of 25)</t>
  </si>
  <si>
    <t>Total Amortization</t>
  </si>
  <si>
    <t>Set of Reciprocating Blades</t>
  </si>
  <si>
    <t>Reciprocating Saw (SawZall)</t>
  </si>
  <si>
    <t>Wood Screws (Deck Screws)</t>
  </si>
  <si>
    <t>Trellis System</t>
  </si>
  <si>
    <t>Price for Labor</t>
  </si>
  <si>
    <t>High Tunnel</t>
  </si>
  <si>
    <t>Taxes</t>
  </si>
  <si>
    <t>Insurance</t>
  </si>
  <si>
    <t>Drip Irrigation Labor Cost</t>
  </si>
  <si>
    <t>Hose Clamps</t>
  </si>
  <si>
    <t>Screwdriver Set</t>
  </si>
  <si>
    <t>Per Pump</t>
  </si>
  <si>
    <t>Connect Back Flow Valve</t>
  </si>
  <si>
    <t>Connect Shut off Valve</t>
  </si>
  <si>
    <t>Connect Pressure Regulator</t>
  </si>
  <si>
    <t>Connect Pressure Gauge</t>
  </si>
  <si>
    <t>Connect Filter</t>
  </si>
  <si>
    <t>Install Pump (Including Extension Cord)</t>
  </si>
  <si>
    <t>Install Emitters</t>
  </si>
  <si>
    <t>Tighten Hose Clamps</t>
  </si>
  <si>
    <t>Install End Caps</t>
  </si>
  <si>
    <t>Per Valve</t>
  </si>
  <si>
    <t>Per Regulator</t>
  </si>
  <si>
    <t>Per Gauge</t>
  </si>
  <si>
    <t>Per Filter</t>
  </si>
  <si>
    <t>Per Tee</t>
  </si>
  <si>
    <t>Per Emitter</t>
  </si>
  <si>
    <t>Per End Cap</t>
  </si>
  <si>
    <t>Per Clamp</t>
  </si>
  <si>
    <t>Connect Tees to Tubing and Drip Tape</t>
  </si>
  <si>
    <t>Connect Elbows to Tubing and Drip Tape</t>
  </si>
  <si>
    <t xml:space="preserve">Main Line Tubing </t>
  </si>
  <si>
    <t xml:space="preserve">Drip Tape </t>
  </si>
  <si>
    <t xml:space="preserve">Flushable End Caps </t>
  </si>
  <si>
    <t xml:space="preserve">Filter </t>
  </si>
  <si>
    <t>Timer</t>
  </si>
  <si>
    <t>Install Timer</t>
  </si>
  <si>
    <t>Per Timer</t>
  </si>
  <si>
    <t>Cut and Attach Main Line Tubing</t>
  </si>
  <si>
    <t>Cut and Attach Drip Tape</t>
  </si>
  <si>
    <t>Inflation Rate</t>
  </si>
  <si>
    <t>Per Row</t>
  </si>
  <si>
    <t>Tubing- For Bows (8" Connectors)</t>
  </si>
  <si>
    <t>Aluminunm Wire Lock Base- For Cover (ft)</t>
  </si>
  <si>
    <t>Total Employees</t>
  </si>
  <si>
    <t>Assuming 2 Employees</t>
  </si>
  <si>
    <t>Labor Rate/ Hour</t>
  </si>
  <si>
    <t>Total Cost</t>
  </si>
  <si>
    <t>Rates</t>
  </si>
  <si>
    <t xml:space="preserve">Tax </t>
  </si>
  <si>
    <t>Total Annual Fixed Cost</t>
  </si>
  <si>
    <t>Amortization Charge Labor</t>
  </si>
  <si>
    <t>Interest</t>
  </si>
  <si>
    <t>Length needed for an acre with given width</t>
  </si>
  <si>
    <t>Plant Spacing</t>
  </si>
  <si>
    <t>Row Length is 24 feet shorter than the length of the high tunnel to give 12 feet of room on each end of the row for anchoring down the trellis system.</t>
  </si>
  <si>
    <t>Line post length is 24 feet shorter than the length of the high tunnel to give 12 feet of room on each end of the row for anchoring down the trellis system.</t>
  </si>
  <si>
    <t>Number of Plants</t>
  </si>
  <si>
    <t>Width of Cross Arms (ft)</t>
  </si>
  <si>
    <t>Feet between end of cross arm and base of high tunnel for each side</t>
  </si>
  <si>
    <t>L Style Crossarm (2')</t>
  </si>
  <si>
    <t>Labor Wage/ Hour</t>
  </si>
  <si>
    <t>Tax Rate</t>
  </si>
  <si>
    <t>Insurance Rate</t>
  </si>
  <si>
    <t>Date</t>
  </si>
  <si>
    <t>Grape Delayed Dormant through Bud Swell</t>
  </si>
  <si>
    <t>Grape Bud Break to Pre-bloom</t>
  </si>
  <si>
    <t>Pristine</t>
  </si>
  <si>
    <t>Captan Gold</t>
  </si>
  <si>
    <t>Rally 40WSP</t>
  </si>
  <si>
    <t>Grape 4- to 10-inch Shoots</t>
  </si>
  <si>
    <t>Mustang Maxx</t>
  </si>
  <si>
    <t>Grape Bloom</t>
  </si>
  <si>
    <t>Grape Shatter</t>
  </si>
  <si>
    <t>Zeal</t>
  </si>
  <si>
    <t>Grape Veraison to Harvest</t>
  </si>
  <si>
    <t>Cueva</t>
  </si>
  <si>
    <t>PyGanic</t>
  </si>
  <si>
    <t>Quadris Top</t>
  </si>
  <si>
    <t>Sevin</t>
  </si>
  <si>
    <t>Conversions</t>
  </si>
  <si>
    <t>Oz/ Acre</t>
  </si>
  <si>
    <t>Lbs/ Acre</t>
  </si>
  <si>
    <t>Rec. Rate</t>
  </si>
  <si>
    <t>Sulforix</t>
  </si>
  <si>
    <t>Manzate Pro Stick</t>
  </si>
  <si>
    <t>Serenade</t>
  </si>
  <si>
    <t>Actinovate</t>
  </si>
  <si>
    <t>Pesticide</t>
  </si>
  <si>
    <t>Unit on Label</t>
  </si>
  <si>
    <t>Price/ Jug or Bottle of Pesticide</t>
  </si>
  <si>
    <t>Quantity of Unit</t>
  </si>
  <si>
    <t>Price/ Jug or Bottle</t>
  </si>
  <si>
    <t>Oz</t>
  </si>
  <si>
    <t>Lb</t>
  </si>
  <si>
    <t>L</t>
  </si>
  <si>
    <t>Gal</t>
  </si>
  <si>
    <t>Oz to Gal</t>
  </si>
  <si>
    <t>Gal/ Tunnel</t>
  </si>
  <si>
    <t>Oz/ Tunnel</t>
  </si>
  <si>
    <t>Lbs/ Tunnel</t>
  </si>
  <si>
    <t>Oz/ Gal</t>
  </si>
  <si>
    <t>Gal/ Acre</t>
  </si>
  <si>
    <t>Number</t>
  </si>
  <si>
    <t>Converting</t>
  </si>
  <si>
    <t>Gal to Oz</t>
  </si>
  <si>
    <t>Oz to Lb</t>
  </si>
  <si>
    <t>Lb to Lb</t>
  </si>
  <si>
    <t>Oz to L</t>
  </si>
  <si>
    <t>Oz to Oz</t>
  </si>
  <si>
    <t>Gal to L</t>
  </si>
  <si>
    <t>Gal per</t>
  </si>
  <si>
    <t>Lb per</t>
  </si>
  <si>
    <t>Oz per</t>
  </si>
  <si>
    <t>After Conversion</t>
  </si>
  <si>
    <t>Cueva (Oz/ Gal)</t>
  </si>
  <si>
    <t>Plant Cost</t>
  </si>
  <si>
    <t>Jupiter</t>
  </si>
  <si>
    <t>Gratitude</t>
  </si>
  <si>
    <t>Total Plant Cost</t>
  </si>
  <si>
    <t>Labor Cost</t>
  </si>
  <si>
    <t>Sanitation (Leaf litter)</t>
  </si>
  <si>
    <t>Growth Tubes</t>
  </si>
  <si>
    <t>Time Start</t>
  </si>
  <si>
    <t>Break</t>
  </si>
  <si>
    <t>Time End</t>
  </si>
  <si>
    <t>Personnel</t>
  </si>
  <si>
    <t>12-1:00 PM</t>
  </si>
  <si>
    <t>Pruning</t>
  </si>
  <si>
    <t>Weeding</t>
  </si>
  <si>
    <t>Soil Samples/ GBM traps</t>
  </si>
  <si>
    <t>Open and Close Tunnel</t>
  </si>
  <si>
    <t>Irrigation</t>
  </si>
  <si>
    <t>Irrigation / Cluster Thinning</t>
  </si>
  <si>
    <t>Cluster Thinning</t>
  </si>
  <si>
    <t>Maintenance (Plastic and String)</t>
  </si>
  <si>
    <t>Harvest</t>
  </si>
  <si>
    <t>Pesticide Application</t>
  </si>
  <si>
    <t>Dimensions of Fayetteville High Tunnel</t>
  </si>
  <si>
    <t>Square Feet</t>
  </si>
  <si>
    <t>Total Labor Hours</t>
  </si>
  <si>
    <t>Assuming 5 Employees</t>
  </si>
  <si>
    <t>Backpack Airblast Sprayer (for spraying plants)</t>
  </si>
  <si>
    <t>2 Gallon Pump Sprayer (for spraying plants</t>
  </si>
  <si>
    <t>Training</t>
  </si>
  <si>
    <t>Per Plant</t>
  </si>
  <si>
    <t>Plant Grape Plants (With Grow Tubes)</t>
  </si>
  <si>
    <t>Can of Spray Paint</t>
  </si>
  <si>
    <t>Note</t>
  </si>
  <si>
    <t>For marking purposes</t>
  </si>
  <si>
    <t>For cutting lumber</t>
  </si>
  <si>
    <t>For deck screws, self tapping screws, etc.</t>
  </si>
  <si>
    <t xml:space="preserve">For drilling screws </t>
  </si>
  <si>
    <t>For drilling pilot holes in line post</t>
  </si>
  <si>
    <t>For cutting wire on trellis system</t>
  </si>
  <si>
    <t>For driving grade stakes into the ground</t>
  </si>
  <si>
    <t>For installing the high tunnel</t>
  </si>
  <si>
    <t>For griping purposes</t>
  </si>
  <si>
    <t>For cutting string, drip tape, drip tubing, etc.</t>
  </si>
  <si>
    <t>For tightening hose clamps</t>
  </si>
  <si>
    <t>For cutting the tubing for the high tunnel</t>
  </si>
  <si>
    <t>For planting purposes</t>
  </si>
  <si>
    <t>For drilling purposes</t>
  </si>
  <si>
    <t>For attaching plastic on the high tunnel, wires to the end post, etc.</t>
  </si>
  <si>
    <t>For measuring purposes</t>
  </si>
  <si>
    <t>For distributing materials</t>
  </si>
  <si>
    <t>Price for Materials</t>
  </si>
  <si>
    <t>Amortization Charge Materials</t>
  </si>
  <si>
    <t>Earth Anchors 30"</t>
  </si>
  <si>
    <t>Fayetteville, Arkansas HT Work Hours (3/15/18-3/21/19)</t>
  </si>
  <si>
    <t>Hours/ Task</t>
  </si>
  <si>
    <t>Training / Irrigation</t>
  </si>
  <si>
    <t>Insert dimensions and rates needed on this tab because all of the formulas in this spreadsheet will be linked to this tab.</t>
  </si>
  <si>
    <t>ONLY CHANGE THE CELLS HIGHLIGHTED IN GREEN</t>
  </si>
  <si>
    <t>Grape Varieties</t>
  </si>
  <si>
    <t>Year 1 Sequence Cost</t>
  </si>
  <si>
    <t>Product Name</t>
  </si>
  <si>
    <t>Product Cost</t>
  </si>
  <si>
    <t>Labor Hours</t>
  </si>
  <si>
    <t>Cost/ Unit</t>
  </si>
  <si>
    <t>Wage Rate</t>
  </si>
  <si>
    <t>Total</t>
  </si>
  <si>
    <t>Spray Sequence</t>
  </si>
  <si>
    <t>Vine Stage</t>
  </si>
  <si>
    <t>Square Acreage</t>
  </si>
  <si>
    <t>Rate/ Tunnel</t>
  </si>
  <si>
    <t>Before Conversion</t>
  </si>
  <si>
    <t>Total Spray Cost</t>
  </si>
  <si>
    <t>Manual Labor</t>
  </si>
  <si>
    <t>Total Manual Labor Cost</t>
  </si>
  <si>
    <t>Total Cost for Year 1</t>
  </si>
  <si>
    <t>Year 2 Sequence Cost</t>
  </si>
  <si>
    <t>Mortality (Replant)</t>
  </si>
  <si>
    <t>Mortality Rate (Rate of Plants that die after planting)</t>
  </si>
  <si>
    <t>$/ Square Foot</t>
  </si>
  <si>
    <t>Grape Replant</t>
  </si>
  <si>
    <t>Year 3 through 30 Sequence Cost</t>
  </si>
  <si>
    <t>Included in GDC Labor</t>
  </si>
  <si>
    <t>Ask about pesticide application labor hours below</t>
  </si>
  <si>
    <t>L/ Gal</t>
  </si>
  <si>
    <t>Year 1</t>
  </si>
  <si>
    <t>Year 2</t>
  </si>
  <si>
    <t>Year 3-30</t>
  </si>
  <si>
    <t>Revenue</t>
  </si>
  <si>
    <t>Fixed Cost</t>
  </si>
  <si>
    <t>Total Revenue</t>
  </si>
  <si>
    <t>Variable Cost</t>
  </si>
  <si>
    <t>Total Variable Cost</t>
  </si>
  <si>
    <t>Total Fixed Cost</t>
  </si>
  <si>
    <t>Irrigation System</t>
  </si>
  <si>
    <t>Amortized Establishment Cost</t>
  </si>
  <si>
    <t>Planting Cost</t>
  </si>
  <si>
    <t>Spraying Cost</t>
  </si>
  <si>
    <t>-</t>
  </si>
  <si>
    <t>Budget</t>
  </si>
  <si>
    <t>Yield (lbs)</t>
  </si>
  <si>
    <t>Price (lbs)</t>
  </si>
  <si>
    <t>Yield/ Vine (lbs)</t>
  </si>
  <si>
    <t>Price/lb</t>
  </si>
  <si>
    <t>Net Returns</t>
  </si>
  <si>
    <t>Cumulative Cost</t>
  </si>
  <si>
    <t>Interest on Cumulative Cost</t>
  </si>
  <si>
    <t>Taxes and Insurance</t>
  </si>
  <si>
    <t>Break Even Yield/ Plant (lbs)</t>
  </si>
  <si>
    <t>Revenue Assumptions</t>
  </si>
  <si>
    <t>Variety</t>
  </si>
  <si>
    <t># of Rows</t>
  </si>
  <si>
    <t># of Plants</t>
  </si>
  <si>
    <t>Total Cost for Year 2</t>
  </si>
  <si>
    <t>Total Cost for Year 3 through 30</t>
  </si>
  <si>
    <t>Extension Cord (ft)</t>
  </si>
  <si>
    <t>Acres</t>
  </si>
  <si>
    <t>Total Yield (lbs)</t>
  </si>
  <si>
    <t>Disease/ Insect Monitoring</t>
  </si>
  <si>
    <t>Year 2/ Year 3-30</t>
  </si>
  <si>
    <t>The total cost of tools is not included in the budget. This tab in the spreadsheet is a reference of the tools that would be needed.</t>
  </si>
  <si>
    <t>Break Even $/ lb</t>
  </si>
  <si>
    <t>Installing Landscape Fabric</t>
  </si>
  <si>
    <t>3 ft wide Landscape Fabric (ft) (with staples for installation)</t>
  </si>
  <si>
    <t>For gripping purposes</t>
  </si>
  <si>
    <r>
      <rPr>
        <b/>
        <sz val="12"/>
        <color theme="1"/>
        <rFont val="Calibri"/>
        <family val="2"/>
        <scheme val="minor"/>
      </rPr>
      <t>Overview:</t>
    </r>
    <r>
      <rPr>
        <sz val="12"/>
        <color theme="1"/>
        <rFont val="Calibri"/>
        <family val="2"/>
        <scheme val="minor"/>
      </rPr>
      <t xml:space="preserve"> This multidisciplinary project evaluated HT grape production as a sustainable way to diversify farm operations. Production inputs, pest management, postharvest qualities, and economic and marketing considerations were identified, assessed, and incorporated into educational programs to assist growers through the decision­ making processes involved in implementing this novel approach to table grape production. The production budget in this workbook was developed during the summer of 2020 and is intended to support economic and marketing recommendations.</t>
    </r>
  </si>
  <si>
    <r>
      <rPr>
        <b/>
        <sz val="12"/>
        <color theme="1"/>
        <rFont val="Calibri"/>
        <family val="2"/>
        <scheme val="minor"/>
      </rPr>
      <t>By:</t>
    </r>
    <r>
      <rPr>
        <sz val="12"/>
        <color theme="1"/>
        <rFont val="Calibri"/>
        <family val="2"/>
        <scheme val="minor"/>
      </rPr>
      <t xml:space="preserve"> Taylor Patterson, Michael R. Thomsen, Brock Daniels, and M. Elena Garcia</t>
    </r>
  </si>
  <si>
    <r>
      <rPr>
        <b/>
        <sz val="12"/>
        <color theme="1"/>
        <rFont val="Calibri"/>
        <family val="2"/>
        <scheme val="minor"/>
      </rPr>
      <t>Organization:</t>
    </r>
    <r>
      <rPr>
        <sz val="12"/>
        <color theme="1"/>
        <rFont val="Calibri"/>
        <family val="2"/>
        <scheme val="minor"/>
      </rPr>
      <t xml:space="preserve"> University of Arkansas Division of Agriculture</t>
    </r>
  </si>
  <si>
    <r>
      <rPr>
        <b/>
        <sz val="12"/>
        <color theme="1"/>
        <rFont val="Calibri"/>
        <family val="2"/>
        <scheme val="minor"/>
      </rPr>
      <t>Funding:</t>
    </r>
    <r>
      <rPr>
        <sz val="12"/>
        <color theme="1"/>
        <rFont val="Calibri"/>
        <family val="2"/>
        <scheme val="minor"/>
      </rPr>
      <t xml:space="preserve"> SSARE Research and Education Project: High Tunnel Grape Production Systems: A Novel Sustainable Approach to Growing Grape (LS17-282).</t>
    </r>
  </si>
  <si>
    <t>Sheet Name</t>
  </si>
  <si>
    <t xml:space="preserve">Hours/ Task for Fayetteville Location </t>
  </si>
  <si>
    <t>High Tunnel Materials</t>
  </si>
  <si>
    <t>Inflation Rate (From 2009 to 2020) for out-of-date prices if necessary</t>
  </si>
  <si>
    <t>This worksheet</t>
  </si>
  <si>
    <t>Main budget results</t>
  </si>
  <si>
    <t>Costs for year 1</t>
  </si>
  <si>
    <t>Costs for year 2</t>
  </si>
  <si>
    <t>Cost for established grapevines</t>
  </si>
  <si>
    <t>Fixed costs</t>
  </si>
  <si>
    <t>Description</t>
  </si>
  <si>
    <t>Assumptions on tunnel dimensions and rates used to support the budgets</t>
  </si>
  <si>
    <t>Labor required for trellising</t>
  </si>
  <si>
    <t>Assumptions on irrigation materials</t>
  </si>
  <si>
    <t>Labor required to install irrigation</t>
  </si>
  <si>
    <t>Assumptions on materials used for the high tunnel</t>
  </si>
  <si>
    <t>Labor required to build the high tunnel</t>
  </si>
  <si>
    <t>A list of recommended general purpose tools not included in the budgets</t>
  </si>
  <si>
    <t>Data on labor required for high-tunnel vineyard operations</t>
  </si>
  <si>
    <t>Contents</t>
  </si>
  <si>
    <t>Sheet Order</t>
  </si>
  <si>
    <r>
      <rPr>
        <b/>
        <sz val="12"/>
        <color theme="1"/>
        <rFont val="Calibri"/>
        <family val="2"/>
        <scheme val="minor"/>
      </rPr>
      <t>Instructions:</t>
    </r>
    <r>
      <rPr>
        <sz val="12"/>
        <color theme="1"/>
        <rFont val="Calibri"/>
        <family val="2"/>
        <scheme val="minor"/>
      </rPr>
      <t xml:space="preserve">  Results of this budget are in the fact-sheet titled "ECONOMIC ANALYSIS OF HIGH TUNNEL GRAPE PRODUCTION", which is available www.attra.ncat.org.  The workbook is being available as-is a supplemental supporting resource. The workbook is not protected, which allows the user to change any cell or formula he or she chooses.  That said, there are many dependencies in the workbook and the workbook will no longer be functional if these dependencies are broken.  Most assumptions, on rates, prices, and amounts can be changed on sheets 7 through 15.  The user should be able to change values in cells shaded in green to better match his or her operation without breaking dependencies. </t>
    </r>
  </si>
  <si>
    <t>Title: High Tunnel Grape Production Budgets for Arkansas</t>
  </si>
  <si>
    <t>Front Page</t>
  </si>
  <si>
    <t>Year 1 Cost</t>
  </si>
  <si>
    <t>Year 2 Cost</t>
  </si>
  <si>
    <t>Year 3 through 30 Cost</t>
  </si>
  <si>
    <t>Insert Dimensions &amp; Rates</t>
  </si>
  <si>
    <t>GDC Materials</t>
  </si>
  <si>
    <t>GDC Labor</t>
  </si>
  <si>
    <t>Irrigation Materials</t>
  </si>
  <si>
    <t>Irrigation Labor</t>
  </si>
  <si>
    <t>High Tunnel Labor</t>
  </si>
  <si>
    <t>Tools Necessary</t>
  </si>
  <si>
    <t>Labor Reference</t>
  </si>
  <si>
    <t>Assumptions on materials used for trellises (GDC = Geneva double curtain)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</si>
</sst>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3" formatCode="_(* #,##0.00_);_(* \(#,##0.00\);_(* &quot;-&quot;??_);_(@_)"/>
    <numFmt numFmtId="164" formatCode="&quot;$&quot;#,##0.00"/>
    <numFmt numFmtId="165" formatCode="0.0"/>
    <numFmt numFmtId="166" formatCode="0.0%"/>
    <numFmt numFmtId="167" formatCode="0.0000000"/>
    <numFmt numFmtId="168" formatCode="0.000"/>
    <numFmt numFmtId="169" formatCode="m/d/yy;@"/>
    <numFmt numFmtId="170" formatCode="[$-409]h:mm\ AM/PM;@"/>
    <numFmt numFmtId="171" formatCode="_(* #,##0_);_(* \(#,##0\);_(* &quot;-&quot;??_);_(@_)"/>
  </numFmts>
  <fonts count="10" x14ac:knownFonts="1">
    <font>
      <sz val="12"/>
      <color theme="1"/>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b/>
      <sz val="11"/>
      <color theme="1"/>
      <name val="Calibri"/>
      <family val="2"/>
      <scheme val="minor"/>
    </font>
    <font>
      <b/>
      <u/>
      <sz val="16"/>
      <color theme="1"/>
      <name val="Calibri"/>
      <family val="2"/>
      <scheme val="minor"/>
    </font>
    <font>
      <b/>
      <i/>
      <u/>
      <sz val="12"/>
      <color theme="1"/>
      <name val="Calibri"/>
      <family val="2"/>
      <scheme val="minor"/>
    </font>
    <font>
      <b/>
      <sz val="14"/>
      <color theme="1"/>
      <name val="Calibri"/>
      <family val="2"/>
      <scheme val="minor"/>
    </font>
    <font>
      <sz val="11"/>
      <color theme="1"/>
      <name val="Calibri"/>
      <family val="2"/>
      <scheme val="minor"/>
    </font>
    <font>
      <b/>
      <sz val="12"/>
      <color theme="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
      <patternFill patternType="solid">
        <fgColor theme="9"/>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499984740745262"/>
        <bgColor indexed="64"/>
      </patternFill>
    </fill>
  </fills>
  <borders count="6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thin">
        <color indexed="64"/>
      </top>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thin">
        <color indexed="64"/>
      </top>
      <bottom style="medium">
        <color indexed="64"/>
      </bottom>
      <diagonal/>
    </border>
    <border>
      <left style="thin">
        <color theme="9"/>
      </left>
      <right style="thin">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theme="0" tint="-0.14999847407452621"/>
      </top>
      <bottom/>
      <diagonal/>
    </border>
    <border>
      <left/>
      <right/>
      <top style="thin">
        <color theme="0" tint="-0.14999847407452621"/>
      </top>
      <bottom/>
      <diagonal/>
    </border>
    <border>
      <left/>
      <right/>
      <top style="medium">
        <color indexed="64"/>
      </top>
      <bottom/>
      <diagonal/>
    </border>
    <border>
      <left/>
      <right/>
      <top style="medium">
        <color indexed="64"/>
      </top>
      <bottom style="thin">
        <color theme="0" tint="-0.14996795556505021"/>
      </bottom>
      <diagonal/>
    </border>
    <border>
      <left style="thin">
        <color theme="9"/>
      </left>
      <right style="thin">
        <color indexed="64"/>
      </right>
      <top style="thin">
        <color indexed="64"/>
      </top>
      <bottom style="thin">
        <color indexed="64"/>
      </bottom>
      <diagonal/>
    </border>
    <border>
      <left style="thin">
        <color theme="9"/>
      </left>
      <right style="thin">
        <color indexed="64"/>
      </right>
      <top style="thin">
        <color indexed="64"/>
      </top>
      <bottom/>
      <diagonal/>
    </border>
    <border>
      <left style="thin">
        <color theme="9"/>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style="thin">
        <color indexed="64"/>
      </bottom>
      <diagonal/>
    </border>
    <border>
      <left style="thin">
        <color indexed="64"/>
      </left>
      <right/>
      <top style="medium">
        <color indexed="64"/>
      </top>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422">
    <xf numFmtId="0" fontId="0" fillId="0" borderId="0" xfId="0"/>
    <xf numFmtId="0" fontId="1" fillId="0" borderId="1" xfId="0" applyFont="1" applyBorder="1"/>
    <xf numFmtId="0" fontId="0" fillId="0" borderId="1" xfId="0" applyBorder="1"/>
    <xf numFmtId="0" fontId="0" fillId="0" borderId="0" xfId="0" applyBorder="1"/>
    <xf numFmtId="0" fontId="1" fillId="0" borderId="2" xfId="0" applyFont="1" applyBorder="1"/>
    <xf numFmtId="0" fontId="0" fillId="0" borderId="3" xfId="0" applyBorder="1"/>
    <xf numFmtId="0" fontId="0" fillId="0" borderId="2" xfId="0" applyBorder="1"/>
    <xf numFmtId="0" fontId="0" fillId="0" borderId="4" xfId="0" applyBorder="1"/>
    <xf numFmtId="0" fontId="0" fillId="0" borderId="5" xfId="0" applyBorder="1"/>
    <xf numFmtId="0" fontId="1" fillId="0" borderId="4" xfId="0" applyFont="1" applyBorder="1"/>
    <xf numFmtId="0" fontId="1" fillId="0" borderId="7" xfId="0" applyFont="1" applyBorder="1"/>
    <xf numFmtId="0" fontId="1" fillId="0" borderId="6" xfId="0" applyFont="1" applyBorder="1"/>
    <xf numFmtId="0" fontId="1" fillId="0" borderId="0" xfId="0" applyFont="1" applyBorder="1"/>
    <xf numFmtId="164" fontId="0" fillId="0" borderId="5" xfId="0" applyNumberFormat="1" applyBorder="1"/>
    <xf numFmtId="164" fontId="0" fillId="0" borderId="0" xfId="0" applyNumberFormat="1" applyBorder="1"/>
    <xf numFmtId="0" fontId="1" fillId="2" borderId="0" xfId="0" applyFont="1" applyFill="1" applyBorder="1" applyAlignment="1">
      <alignment horizontal="center"/>
    </xf>
    <xf numFmtId="0" fontId="1" fillId="0" borderId="4" xfId="0" applyFont="1" applyFill="1" applyBorder="1"/>
    <xf numFmtId="164" fontId="0" fillId="0" borderId="1" xfId="0" applyNumberFormat="1" applyBorder="1"/>
    <xf numFmtId="0" fontId="0" fillId="0" borderId="11" xfId="0" applyBorder="1"/>
    <xf numFmtId="0" fontId="0" fillId="0" borderId="0" xfId="0" applyFill="1" applyBorder="1"/>
    <xf numFmtId="0" fontId="0" fillId="0" borderId="0" xfId="0" applyFont="1" applyFill="1" applyBorder="1"/>
    <xf numFmtId="0" fontId="1" fillId="0" borderId="0" xfId="0" applyFont="1" applyFill="1" applyBorder="1" applyAlignment="1">
      <alignment horizontal="center"/>
    </xf>
    <xf numFmtId="0" fontId="1" fillId="0" borderId="0" xfId="0" applyFont="1" applyBorder="1" applyAlignment="1"/>
    <xf numFmtId="0" fontId="1" fillId="0" borderId="7" xfId="0" applyFont="1" applyBorder="1" applyAlignment="1">
      <alignment horizontal="center"/>
    </xf>
    <xf numFmtId="0" fontId="1" fillId="0" borderId="6" xfId="0" applyFont="1" applyBorder="1" applyAlignment="1">
      <alignment horizontal="center"/>
    </xf>
    <xf numFmtId="2" fontId="0" fillId="0" borderId="1" xfId="0" applyNumberFormat="1" applyBorder="1"/>
    <xf numFmtId="164" fontId="0" fillId="0" borderId="0" xfId="0" applyNumberFormat="1"/>
    <xf numFmtId="0" fontId="1" fillId="0" borderId="0" xfId="0" applyFont="1" applyAlignment="1"/>
    <xf numFmtId="164" fontId="0" fillId="0" borderId="4" xfId="0" applyNumberFormat="1" applyBorder="1"/>
    <xf numFmtId="2" fontId="0" fillId="0" borderId="0" xfId="0" applyNumberFormat="1"/>
    <xf numFmtId="0" fontId="0" fillId="0" borderId="5" xfId="0" applyFill="1" applyBorder="1"/>
    <xf numFmtId="0" fontId="0" fillId="0" borderId="4" xfId="0" applyFill="1" applyBorder="1"/>
    <xf numFmtId="2" fontId="0" fillId="0" borderId="0" xfId="0" applyNumberFormat="1" applyBorder="1"/>
    <xf numFmtId="1" fontId="0" fillId="0" borderId="0" xfId="0" applyNumberFormat="1" applyBorder="1"/>
    <xf numFmtId="0" fontId="0" fillId="0" borderId="3" xfId="0" applyFont="1" applyFill="1" applyBorder="1"/>
    <xf numFmtId="3" fontId="0" fillId="0" borderId="0" xfId="0" applyNumberFormat="1"/>
    <xf numFmtId="0" fontId="1" fillId="2" borderId="14" xfId="0" applyFont="1" applyFill="1" applyBorder="1"/>
    <xf numFmtId="164" fontId="1" fillId="2" borderId="13" xfId="0" applyNumberFormat="1" applyFont="1" applyFill="1" applyBorder="1"/>
    <xf numFmtId="0" fontId="0" fillId="0" borderId="3" xfId="0" applyFill="1" applyBorder="1"/>
    <xf numFmtId="3" fontId="0" fillId="0" borderId="5" xfId="0" applyNumberFormat="1" applyFill="1" applyBorder="1"/>
    <xf numFmtId="3" fontId="0" fillId="0" borderId="5" xfId="0" applyNumberFormat="1" applyBorder="1"/>
    <xf numFmtId="0" fontId="1" fillId="2" borderId="10" xfId="0" applyFont="1" applyFill="1" applyBorder="1"/>
    <xf numFmtId="164" fontId="1" fillId="2" borderId="9" xfId="0" applyNumberFormat="1" applyFont="1" applyFill="1" applyBorder="1"/>
    <xf numFmtId="0" fontId="1" fillId="2" borderId="8" xfId="0" applyFont="1" applyFill="1" applyBorder="1"/>
    <xf numFmtId="0" fontId="0" fillId="0" borderId="0" xfId="0" applyFill="1" applyBorder="1" applyAlignment="1">
      <alignment horizontal="center"/>
    </xf>
    <xf numFmtId="1" fontId="0" fillId="0" borderId="0" xfId="0" applyNumberFormat="1"/>
    <xf numFmtId="2" fontId="0" fillId="0" borderId="5" xfId="0" applyNumberFormat="1" applyBorder="1"/>
    <xf numFmtId="0" fontId="0" fillId="0" borderId="2" xfId="0" applyFill="1" applyBorder="1"/>
    <xf numFmtId="3" fontId="0" fillId="0" borderId="4" xfId="0" applyNumberFormat="1" applyBorder="1"/>
    <xf numFmtId="0" fontId="0" fillId="0" borderId="0" xfId="0" applyFill="1"/>
    <xf numFmtId="164" fontId="1" fillId="0" borderId="0" xfId="0" applyNumberFormat="1" applyFont="1" applyFill="1" applyBorder="1"/>
    <xf numFmtId="0" fontId="1" fillId="0" borderId="15" xfId="0" applyFont="1" applyBorder="1"/>
    <xf numFmtId="0" fontId="0" fillId="0" borderId="0" xfId="0" applyNumberFormat="1" applyBorder="1"/>
    <xf numFmtId="164" fontId="1" fillId="2" borderId="8" xfId="0" applyNumberFormat="1" applyFont="1" applyFill="1" applyBorder="1"/>
    <xf numFmtId="164" fontId="1" fillId="0" borderId="0" xfId="0" applyNumberFormat="1" applyFont="1" applyFill="1"/>
    <xf numFmtId="0" fontId="1" fillId="0" borderId="2" xfId="0" applyFont="1" applyFill="1" applyBorder="1"/>
    <xf numFmtId="8" fontId="0" fillId="0" borderId="0" xfId="0" applyNumberFormat="1"/>
    <xf numFmtId="8" fontId="0" fillId="0" borderId="11" xfId="0" applyNumberFormat="1" applyBorder="1"/>
    <xf numFmtId="8" fontId="0" fillId="0" borderId="5" xfId="0" applyNumberFormat="1" applyBorder="1"/>
    <xf numFmtId="8" fontId="0" fillId="0" borderId="4" xfId="0" applyNumberFormat="1" applyBorder="1"/>
    <xf numFmtId="0" fontId="1" fillId="0" borderId="4" xfId="0" applyFont="1" applyFill="1" applyBorder="1" applyAlignment="1">
      <alignment horizontal="left"/>
    </xf>
    <xf numFmtId="0" fontId="1" fillId="0" borderId="1" xfId="0" applyFont="1" applyFill="1" applyBorder="1" applyAlignment="1">
      <alignment horizontal="left"/>
    </xf>
    <xf numFmtId="0" fontId="1" fillId="0" borderId="1" xfId="0" applyFont="1" applyFill="1" applyBorder="1" applyAlignment="1">
      <alignment horizontal="center"/>
    </xf>
    <xf numFmtId="0" fontId="1" fillId="0" borderId="4" xfId="0" applyFont="1" applyFill="1" applyBorder="1" applyAlignment="1">
      <alignment horizontal="center"/>
    </xf>
    <xf numFmtId="0" fontId="1" fillId="0" borderId="15" xfId="0" applyFont="1" applyFill="1" applyBorder="1"/>
    <xf numFmtId="10" fontId="0" fillId="2" borderId="0" xfId="0" applyNumberFormat="1" applyFill="1" applyBorder="1"/>
    <xf numFmtId="1" fontId="0" fillId="0" borderId="1" xfId="0" applyNumberFormat="1" applyBorder="1"/>
    <xf numFmtId="10" fontId="0" fillId="0" borderId="0" xfId="0" applyNumberFormat="1" applyFill="1"/>
    <xf numFmtId="0" fontId="1" fillId="2" borderId="11" xfId="0" applyFont="1" applyFill="1" applyBorder="1"/>
    <xf numFmtId="0" fontId="1" fillId="2" borderId="19" xfId="0" applyFont="1" applyFill="1" applyBorder="1"/>
    <xf numFmtId="0" fontId="0" fillId="2" borderId="16" xfId="0" applyFill="1" applyBorder="1"/>
    <xf numFmtId="0" fontId="0" fillId="2" borderId="17" xfId="0" applyFill="1" applyBorder="1"/>
    <xf numFmtId="0" fontId="0" fillId="2" borderId="3" xfId="0" applyFill="1" applyBorder="1" applyAlignment="1"/>
    <xf numFmtId="0" fontId="0" fillId="2" borderId="0" xfId="0" applyFill="1" applyAlignment="1"/>
    <xf numFmtId="0" fontId="0" fillId="0" borderId="3" xfId="0" applyFill="1" applyBorder="1" applyAlignment="1"/>
    <xf numFmtId="0" fontId="0" fillId="0" borderId="0" xfId="0" applyFill="1" applyAlignment="1"/>
    <xf numFmtId="0" fontId="0" fillId="0" borderId="3" xfId="0" applyBorder="1" applyAlignment="1"/>
    <xf numFmtId="0" fontId="0" fillId="0" borderId="5" xfId="0" applyBorder="1" applyAlignment="1"/>
    <xf numFmtId="0" fontId="0" fillId="2" borderId="5" xfId="0" applyFill="1" applyBorder="1" applyAlignment="1"/>
    <xf numFmtId="164" fontId="0" fillId="2" borderId="1" xfId="0" applyNumberFormat="1" applyFill="1" applyBorder="1" applyAlignment="1"/>
    <xf numFmtId="164" fontId="0" fillId="2" borderId="4" xfId="0" applyNumberFormat="1" applyFill="1" applyBorder="1" applyAlignment="1"/>
    <xf numFmtId="0" fontId="0" fillId="2" borderId="13" xfId="0" applyFill="1" applyBorder="1" applyAlignment="1"/>
    <xf numFmtId="164" fontId="0" fillId="2" borderId="2" xfId="0" applyNumberFormat="1" applyFill="1" applyBorder="1" applyAlignment="1"/>
    <xf numFmtId="0" fontId="0" fillId="2" borderId="4" xfId="0" applyFill="1" applyBorder="1" applyAlignment="1"/>
    <xf numFmtId="166" fontId="0" fillId="0" borderId="0" xfId="0" applyNumberFormat="1"/>
    <xf numFmtId="164" fontId="0" fillId="0" borderId="16" xfId="0" applyNumberFormat="1" applyBorder="1"/>
    <xf numFmtId="164" fontId="0" fillId="0" borderId="17" xfId="0" applyNumberFormat="1" applyBorder="1"/>
    <xf numFmtId="0" fontId="0" fillId="0" borderId="21" xfId="0" applyFill="1" applyBorder="1" applyAlignment="1"/>
    <xf numFmtId="9" fontId="0" fillId="0" borderId="1" xfId="1" applyFont="1" applyBorder="1"/>
    <xf numFmtId="0" fontId="0" fillId="0" borderId="20" xfId="0" applyBorder="1"/>
    <xf numFmtId="0" fontId="0" fillId="0" borderId="16" xfId="0" applyBorder="1"/>
    <xf numFmtId="164" fontId="1" fillId="0" borderId="9" xfId="0" applyNumberFormat="1" applyFont="1" applyBorder="1"/>
    <xf numFmtId="9" fontId="0" fillId="2" borderId="0" xfId="1" applyFont="1" applyFill="1" applyBorder="1"/>
    <xf numFmtId="0" fontId="1" fillId="2" borderId="23" xfId="0" applyFont="1" applyFill="1" applyBorder="1"/>
    <xf numFmtId="164" fontId="1" fillId="2" borderId="12" xfId="0" applyNumberFormat="1" applyFont="1" applyFill="1" applyBorder="1" applyAlignment="1"/>
    <xf numFmtId="164" fontId="1" fillId="2" borderId="14" xfId="0" applyNumberFormat="1" applyFont="1" applyFill="1" applyBorder="1" applyAlignment="1"/>
    <xf numFmtId="0" fontId="3" fillId="0" borderId="0" xfId="0" applyFont="1" applyFill="1" applyAlignment="1"/>
    <xf numFmtId="0" fontId="0" fillId="0" borderId="0" xfId="0" applyAlignment="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3" fillId="0" borderId="0" xfId="0" applyFont="1" applyFill="1" applyBorder="1" applyAlignment="1"/>
    <xf numFmtId="0" fontId="0" fillId="3" borderId="20" xfId="0" applyFill="1" applyBorder="1"/>
    <xf numFmtId="164" fontId="0" fillId="3" borderId="11" xfId="0" applyNumberFormat="1" applyFill="1" applyBorder="1"/>
    <xf numFmtId="10" fontId="0" fillId="3" borderId="5" xfId="0" applyNumberFormat="1" applyFill="1" applyBorder="1"/>
    <xf numFmtId="9" fontId="0" fillId="3" borderId="5" xfId="0" applyNumberFormat="1" applyFill="1" applyBorder="1"/>
    <xf numFmtId="9" fontId="0" fillId="2" borderId="0" xfId="0" applyNumberFormat="1" applyFill="1" applyBorder="1"/>
    <xf numFmtId="166" fontId="0" fillId="3" borderId="5" xfId="0" applyNumberFormat="1" applyFill="1" applyBorder="1"/>
    <xf numFmtId="168" fontId="0" fillId="0" borderId="0" xfId="0" applyNumberFormat="1"/>
    <xf numFmtId="0" fontId="0" fillId="0" borderId="17" xfId="0" applyBorder="1"/>
    <xf numFmtId="0" fontId="1" fillId="0" borderId="18" xfId="0" applyFont="1" applyBorder="1"/>
    <xf numFmtId="0" fontId="1" fillId="0" borderId="15"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applyAlignment="1">
      <alignment horizontal="left"/>
    </xf>
    <xf numFmtId="0" fontId="0" fillId="0" borderId="1" xfId="0" applyFill="1" applyBorder="1"/>
    <xf numFmtId="167" fontId="0" fillId="0" borderId="0" xfId="0" applyNumberFormat="1" applyFill="1" applyBorder="1" applyAlignment="1">
      <alignment horizontal="left"/>
    </xf>
    <xf numFmtId="0" fontId="1" fillId="0" borderId="10" xfId="0" applyFont="1" applyBorder="1"/>
    <xf numFmtId="164" fontId="1" fillId="0" borderId="10" xfId="0" applyNumberFormat="1" applyFont="1" applyBorder="1"/>
    <xf numFmtId="0" fontId="1" fillId="0" borderId="6" xfId="0" applyFont="1" applyFill="1" applyBorder="1"/>
    <xf numFmtId="0" fontId="0" fillId="0" borderId="8" xfId="0" applyBorder="1"/>
    <xf numFmtId="164" fontId="0" fillId="0" borderId="9" xfId="0" applyNumberFormat="1" applyBorder="1"/>
    <xf numFmtId="0" fontId="1" fillId="0" borderId="8" xfId="0" applyFont="1" applyBorder="1"/>
    <xf numFmtId="0" fontId="4" fillId="0" borderId="19" xfId="0" applyFont="1" applyBorder="1" applyAlignment="1" applyProtection="1">
      <alignment horizontal="center" vertical="center"/>
      <protection locked="0"/>
    </xf>
    <xf numFmtId="169" fontId="0" fillId="0" borderId="0" xfId="0" applyNumberFormat="1" applyAlignment="1">
      <alignment horizontal="center" vertical="center"/>
    </xf>
    <xf numFmtId="170" fontId="0" fillId="0" borderId="0" xfId="0" applyNumberFormat="1"/>
    <xf numFmtId="170" fontId="0" fillId="0" borderId="0" xfId="0" applyNumberFormat="1" applyAlignment="1">
      <alignment horizontal="center"/>
    </xf>
    <xf numFmtId="170" fontId="0" fillId="0" borderId="0" xfId="0" applyNumberFormat="1" applyAlignment="1">
      <alignment horizontal="left"/>
    </xf>
    <xf numFmtId="0" fontId="0" fillId="0" borderId="0" xfId="0" applyAlignment="1">
      <alignment wrapText="1"/>
    </xf>
    <xf numFmtId="0" fontId="0" fillId="0" borderId="0" xfId="0" applyBorder="1" applyAlignment="1"/>
    <xf numFmtId="0" fontId="0" fillId="0" borderId="1" xfId="0" applyBorder="1" applyAlignment="1"/>
    <xf numFmtId="0" fontId="4" fillId="0" borderId="20" xfId="0" applyFont="1" applyBorder="1" applyAlignment="1" applyProtection="1">
      <alignment vertical="center"/>
      <protection locked="0"/>
    </xf>
    <xf numFmtId="0" fontId="0" fillId="0" borderId="2" xfId="0" applyBorder="1" applyAlignment="1"/>
    <xf numFmtId="0" fontId="0" fillId="0" borderId="19" xfId="0" applyBorder="1" applyAlignment="1"/>
    <xf numFmtId="0" fontId="0" fillId="0" borderId="16" xfId="0" applyBorder="1" applyAlignment="1"/>
    <xf numFmtId="0" fontId="6" fillId="0" borderId="0" xfId="0" applyFont="1"/>
    <xf numFmtId="0" fontId="1" fillId="0" borderId="9" xfId="0" applyFont="1" applyBorder="1"/>
    <xf numFmtId="0" fontId="6" fillId="0" borderId="4" xfId="0" applyFont="1" applyBorder="1"/>
    <xf numFmtId="0" fontId="6" fillId="0" borderId="0" xfId="0" applyFont="1" applyFill="1" applyBorder="1"/>
    <xf numFmtId="0" fontId="1" fillId="2" borderId="21" xfId="0" applyFont="1" applyFill="1" applyBorder="1" applyAlignment="1"/>
    <xf numFmtId="0" fontId="6" fillId="0" borderId="5" xfId="0" applyFont="1" applyBorder="1"/>
    <xf numFmtId="0" fontId="1" fillId="0" borderId="25" xfId="0" applyFont="1" applyBorder="1"/>
    <xf numFmtId="0" fontId="1" fillId="0" borderId="27" xfId="0" applyFont="1" applyFill="1" applyBorder="1"/>
    <xf numFmtId="164" fontId="0" fillId="0" borderId="3" xfId="0" applyNumberFormat="1" applyBorder="1"/>
    <xf numFmtId="1" fontId="0" fillId="0" borderId="3" xfId="0" applyNumberFormat="1" applyBorder="1"/>
    <xf numFmtId="164" fontId="0" fillId="0" borderId="33" xfId="0" applyNumberFormat="1" applyBorder="1"/>
    <xf numFmtId="164" fontId="0" fillId="0" borderId="34" xfId="0" applyNumberFormat="1" applyBorder="1"/>
    <xf numFmtId="164" fontId="0" fillId="0" borderId="25" xfId="0" applyNumberFormat="1" applyBorder="1"/>
    <xf numFmtId="0" fontId="1" fillId="0" borderId="8" xfId="0" applyFont="1" applyFill="1" applyBorder="1" applyAlignment="1"/>
    <xf numFmtId="164" fontId="6" fillId="2" borderId="35" xfId="0" applyNumberFormat="1" applyFont="1" applyFill="1" applyBorder="1"/>
    <xf numFmtId="164" fontId="6" fillId="4" borderId="30" xfId="0" applyNumberFormat="1" applyFont="1" applyFill="1" applyBorder="1"/>
    <xf numFmtId="1" fontId="1" fillId="0" borderId="8" xfId="0" applyNumberFormat="1" applyFont="1" applyBorder="1"/>
    <xf numFmtId="9" fontId="0" fillId="0" borderId="4" xfId="0" applyNumberFormat="1" applyBorder="1"/>
    <xf numFmtId="0" fontId="1" fillId="2" borderId="38" xfId="0" applyFont="1" applyFill="1" applyBorder="1"/>
    <xf numFmtId="164" fontId="1" fillId="2" borderId="24" xfId="0" applyNumberFormat="1" applyFont="1" applyFill="1" applyBorder="1"/>
    <xf numFmtId="170" fontId="0" fillId="0" borderId="0" xfId="0" applyNumberFormat="1" applyFill="1"/>
    <xf numFmtId="170" fontId="0" fillId="0" borderId="0" xfId="0" applyNumberFormat="1" applyFill="1" applyAlignment="1">
      <alignment horizontal="center"/>
    </xf>
    <xf numFmtId="170" fontId="0" fillId="0" borderId="0" xfId="0" applyNumberFormat="1" applyFill="1" applyAlignment="1">
      <alignment horizontal="left"/>
    </xf>
    <xf numFmtId="0" fontId="1" fillId="0" borderId="7" xfId="0" applyFont="1" applyBorder="1" applyAlignment="1">
      <alignment horizontal="center"/>
    </xf>
    <xf numFmtId="0" fontId="1" fillId="0" borderId="6" xfId="0" applyFont="1" applyBorder="1" applyAlignment="1">
      <alignment horizontal="center"/>
    </xf>
    <xf numFmtId="0" fontId="1" fillId="0" borderId="15" xfId="0" applyFont="1" applyBorder="1" applyAlignment="1">
      <alignment horizontal="center"/>
    </xf>
    <xf numFmtId="0" fontId="0" fillId="0" borderId="0" xfId="0" applyBorder="1" applyAlignment="1">
      <alignment horizontal="left"/>
    </xf>
    <xf numFmtId="0" fontId="0" fillId="0" borderId="5" xfId="0" applyBorder="1" applyAlignment="1">
      <alignment horizontal="right"/>
    </xf>
    <xf numFmtId="164" fontId="1" fillId="0" borderId="14" xfId="0" applyNumberFormat="1" applyFont="1" applyFill="1" applyBorder="1"/>
    <xf numFmtId="164" fontId="1" fillId="0" borderId="12" xfId="0" applyNumberFormat="1" applyFont="1" applyFill="1" applyBorder="1"/>
    <xf numFmtId="0" fontId="0" fillId="3" borderId="0" xfId="0" applyFill="1"/>
    <xf numFmtId="0" fontId="0" fillId="0" borderId="0" xfId="0" applyNumberFormat="1"/>
    <xf numFmtId="164" fontId="0" fillId="0" borderId="3" xfId="0" applyNumberFormat="1" applyBorder="1" applyAlignment="1">
      <alignment horizontal="center"/>
    </xf>
    <xf numFmtId="0" fontId="0" fillId="3" borderId="2" xfId="0" applyFill="1" applyBorder="1"/>
    <xf numFmtId="0" fontId="0" fillId="3" borderId="1" xfId="0" applyFill="1" applyBorder="1"/>
    <xf numFmtId="164" fontId="0" fillId="3" borderId="19" xfId="0" applyNumberFormat="1" applyFill="1" applyBorder="1"/>
    <xf numFmtId="164" fontId="0" fillId="3" borderId="17" xfId="0" applyNumberFormat="1" applyFill="1" applyBorder="1"/>
    <xf numFmtId="0" fontId="1" fillId="0" borderId="50" xfId="0" applyFont="1" applyBorder="1" applyAlignment="1">
      <alignment horizontal="center"/>
    </xf>
    <xf numFmtId="0" fontId="1" fillId="0" borderId="48" xfId="0" applyFont="1" applyBorder="1" applyAlignment="1">
      <alignment horizontal="center"/>
    </xf>
    <xf numFmtId="0" fontId="0" fillId="3" borderId="3" xfId="0" applyFont="1" applyFill="1" applyBorder="1"/>
    <xf numFmtId="0" fontId="0" fillId="3" borderId="2" xfId="0" applyFont="1" applyFill="1" applyBorder="1"/>
    <xf numFmtId="164" fontId="0" fillId="0" borderId="3" xfId="0" applyNumberFormat="1" applyBorder="1" applyAlignment="1"/>
    <xf numFmtId="164" fontId="1" fillId="0" borderId="45" xfId="0" applyNumberFormat="1" applyFont="1" applyBorder="1" applyAlignment="1"/>
    <xf numFmtId="164" fontId="1" fillId="2" borderId="43" xfId="0" applyNumberFormat="1" applyFont="1" applyFill="1" applyBorder="1" applyAlignment="1"/>
    <xf numFmtId="164" fontId="0" fillId="0" borderId="0" xfId="0" applyNumberFormat="1" applyBorder="1" applyAlignment="1"/>
    <xf numFmtId="164" fontId="1" fillId="2" borderId="50" xfId="0" applyNumberFormat="1" applyFont="1" applyFill="1" applyBorder="1" applyAlignment="1"/>
    <xf numFmtId="0" fontId="1" fillId="0" borderId="49" xfId="0" applyFont="1" applyBorder="1" applyAlignment="1">
      <alignment horizontal="center"/>
    </xf>
    <xf numFmtId="0" fontId="1" fillId="4" borderId="21" xfId="0" applyFont="1" applyFill="1" applyBorder="1"/>
    <xf numFmtId="0" fontId="0" fillId="4" borderId="5" xfId="0" applyFill="1" applyBorder="1" applyAlignment="1">
      <alignment horizontal="right"/>
    </xf>
    <xf numFmtId="0" fontId="0" fillId="0" borderId="11" xfId="0" applyBorder="1" applyAlignment="1">
      <alignment horizontal="right"/>
    </xf>
    <xf numFmtId="0" fontId="1" fillId="4" borderId="54" xfId="0" applyFont="1" applyFill="1" applyBorder="1" applyAlignment="1"/>
    <xf numFmtId="0" fontId="1" fillId="4" borderId="54" xfId="0" applyFont="1" applyFill="1" applyBorder="1"/>
    <xf numFmtId="164" fontId="1" fillId="0" borderId="0" xfId="0" applyNumberFormat="1" applyFont="1" applyAlignment="1"/>
    <xf numFmtId="165" fontId="1" fillId="0" borderId="1" xfId="2" applyNumberFormat="1" applyFont="1" applyBorder="1" applyAlignment="1"/>
    <xf numFmtId="164" fontId="6" fillId="0" borderId="32" xfId="0" applyNumberFormat="1" applyFont="1" applyFill="1" applyBorder="1"/>
    <xf numFmtId="0" fontId="6" fillId="0" borderId="22" xfId="0" applyFont="1" applyFill="1" applyBorder="1"/>
    <xf numFmtId="0" fontId="1" fillId="2" borderId="18" xfId="0" applyFont="1" applyFill="1" applyBorder="1" applyAlignment="1"/>
    <xf numFmtId="16" fontId="0" fillId="5" borderId="55" xfId="0" applyNumberFormat="1" applyFont="1" applyFill="1" applyBorder="1" applyAlignment="1">
      <alignment horizontal="center" vertical="center"/>
    </xf>
    <xf numFmtId="0" fontId="0" fillId="5" borderId="15" xfId="0" applyFill="1" applyBorder="1" applyAlignment="1">
      <alignment horizontal="center" wrapText="1"/>
    </xf>
    <xf numFmtId="0" fontId="0" fillId="5" borderId="7" xfId="0" applyFill="1" applyBorder="1"/>
    <xf numFmtId="0" fontId="0" fillId="5" borderId="1" xfId="0" applyFill="1" applyBorder="1"/>
    <xf numFmtId="2" fontId="0" fillId="5" borderId="7" xfId="0" applyNumberFormat="1" applyFill="1" applyBorder="1"/>
    <xf numFmtId="0" fontId="0" fillId="5" borderId="4" xfId="0" applyFill="1" applyBorder="1"/>
    <xf numFmtId="164" fontId="0" fillId="5" borderId="15" xfId="0" applyNumberFormat="1" applyFill="1" applyBorder="1"/>
    <xf numFmtId="168" fontId="0" fillId="5" borderId="7" xfId="0" applyNumberFormat="1" applyFill="1" applyBorder="1"/>
    <xf numFmtId="164" fontId="0" fillId="5" borderId="6" xfId="0" applyNumberFormat="1" applyFill="1" applyBorder="1"/>
    <xf numFmtId="164" fontId="0" fillId="5" borderId="29" xfId="0" applyNumberFormat="1" applyFill="1" applyBorder="1"/>
    <xf numFmtId="0" fontId="0" fillId="5" borderId="11" xfId="0" applyFill="1" applyBorder="1"/>
    <xf numFmtId="0" fontId="0" fillId="5" borderId="21" xfId="0" applyFill="1" applyBorder="1"/>
    <xf numFmtId="2" fontId="0" fillId="5" borderId="0" xfId="0" applyNumberFormat="1" applyFill="1" applyBorder="1"/>
    <xf numFmtId="164" fontId="0" fillId="5" borderId="3" xfId="0" applyNumberFormat="1" applyFill="1" applyBorder="1"/>
    <xf numFmtId="168" fontId="0" fillId="5" borderId="0" xfId="0" applyNumberFormat="1" applyFill="1" applyBorder="1"/>
    <xf numFmtId="0" fontId="0" fillId="5" borderId="0" xfId="0" applyFill="1" applyBorder="1"/>
    <xf numFmtId="164" fontId="0" fillId="5" borderId="5" xfId="0" applyNumberFormat="1" applyFill="1" applyBorder="1"/>
    <xf numFmtId="0" fontId="0" fillId="5" borderId="0" xfId="0" applyFill="1"/>
    <xf numFmtId="0" fontId="0" fillId="5" borderId="26" xfId="0" applyFill="1" applyBorder="1"/>
    <xf numFmtId="164" fontId="0" fillId="5" borderId="30" xfId="0" applyNumberFormat="1" applyFill="1" applyBorder="1"/>
    <xf numFmtId="2" fontId="0" fillId="5" borderId="1" xfId="0" applyNumberFormat="1" applyFill="1" applyBorder="1"/>
    <xf numFmtId="164" fontId="0" fillId="5" borderId="2" xfId="0" applyNumberFormat="1" applyFill="1" applyBorder="1"/>
    <xf numFmtId="168" fontId="0" fillId="5" borderId="1" xfId="0" applyNumberFormat="1" applyFill="1" applyBorder="1"/>
    <xf numFmtId="164" fontId="0" fillId="5" borderId="4" xfId="0" applyNumberFormat="1" applyFill="1" applyBorder="1"/>
    <xf numFmtId="0" fontId="0" fillId="5" borderId="25" xfId="0" applyFill="1" applyBorder="1"/>
    <xf numFmtId="164" fontId="0" fillId="5" borderId="31" xfId="0" applyNumberFormat="1" applyFill="1" applyBorder="1"/>
    <xf numFmtId="0" fontId="0" fillId="4" borderId="11" xfId="0" applyFill="1" applyBorder="1"/>
    <xf numFmtId="0" fontId="0" fillId="4" borderId="21" xfId="0" applyFill="1" applyBorder="1"/>
    <xf numFmtId="2" fontId="0" fillId="4" borderId="0" xfId="0" applyNumberFormat="1" applyFill="1" applyBorder="1"/>
    <xf numFmtId="164" fontId="0" fillId="4" borderId="3" xfId="0" applyNumberFormat="1" applyFill="1" applyBorder="1"/>
    <xf numFmtId="168" fontId="0" fillId="4" borderId="0" xfId="0" applyNumberFormat="1" applyFill="1" applyBorder="1"/>
    <xf numFmtId="0" fontId="0" fillId="4" borderId="0" xfId="0" applyFill="1" applyBorder="1"/>
    <xf numFmtId="164" fontId="0" fillId="4" borderId="5" xfId="0" applyNumberFormat="1" applyFill="1" applyBorder="1"/>
    <xf numFmtId="0" fontId="0" fillId="4" borderId="0" xfId="0" applyFill="1"/>
    <xf numFmtId="0" fontId="0" fillId="4" borderId="26" xfId="0" applyFill="1" applyBorder="1"/>
    <xf numFmtId="164" fontId="0" fillId="4" borderId="30" xfId="0" applyNumberFormat="1" applyFill="1" applyBorder="1"/>
    <xf numFmtId="0" fontId="0" fillId="4" borderId="4" xfId="0" applyFill="1" applyBorder="1"/>
    <xf numFmtId="0" fontId="0" fillId="4" borderId="1" xfId="0" applyFill="1" applyBorder="1"/>
    <xf numFmtId="2" fontId="0" fillId="4" borderId="1" xfId="0" applyNumberFormat="1" applyFill="1" applyBorder="1"/>
    <xf numFmtId="164" fontId="0" fillId="4" borderId="2" xfId="0" applyNumberFormat="1" applyFill="1" applyBorder="1"/>
    <xf numFmtId="168" fontId="0" fillId="4" borderId="1" xfId="0" applyNumberFormat="1" applyFill="1" applyBorder="1"/>
    <xf numFmtId="164" fontId="0" fillId="4" borderId="4" xfId="0" applyNumberFormat="1" applyFill="1" applyBorder="1"/>
    <xf numFmtId="0" fontId="0" fillId="4" borderId="25" xfId="0" applyFill="1" applyBorder="1"/>
    <xf numFmtId="164" fontId="0" fillId="4" borderId="31" xfId="0" applyNumberFormat="1" applyFill="1" applyBorder="1"/>
    <xf numFmtId="0" fontId="0" fillId="4" borderId="5" xfId="0" applyFill="1" applyBorder="1"/>
    <xf numFmtId="16" fontId="0" fillId="4" borderId="55" xfId="0" applyNumberFormat="1" applyFont="1" applyFill="1" applyBorder="1" applyAlignment="1">
      <alignment horizontal="center" vertical="center"/>
    </xf>
    <xf numFmtId="0" fontId="0" fillId="4" borderId="15" xfId="0" applyFill="1" applyBorder="1" applyAlignment="1">
      <alignment horizontal="center" vertical="center" wrapText="1"/>
    </xf>
    <xf numFmtId="0" fontId="0" fillId="4" borderId="6" xfId="0" applyFill="1" applyBorder="1"/>
    <xf numFmtId="0" fontId="0" fillId="4" borderId="7" xfId="0" applyFill="1" applyBorder="1"/>
    <xf numFmtId="164" fontId="0" fillId="4" borderId="15" xfId="0" applyNumberFormat="1" applyFill="1" applyBorder="1"/>
    <xf numFmtId="168" fontId="0" fillId="4" borderId="7" xfId="0" applyNumberFormat="1" applyFill="1" applyBorder="1"/>
    <xf numFmtId="164" fontId="0" fillId="4" borderId="6" xfId="0" applyNumberFormat="1" applyFill="1" applyBorder="1"/>
    <xf numFmtId="0" fontId="0" fillId="4" borderId="28" xfId="0" applyFill="1" applyBorder="1"/>
    <xf numFmtId="164" fontId="0" fillId="4" borderId="29" xfId="0" applyNumberFormat="1" applyFill="1" applyBorder="1"/>
    <xf numFmtId="0" fontId="0" fillId="5" borderId="18" xfId="0" applyFill="1" applyBorder="1" applyAlignment="1">
      <alignment horizontal="right"/>
    </xf>
    <xf numFmtId="0" fontId="0" fillId="4" borderId="19" xfId="0" applyFill="1" applyBorder="1" applyAlignment="1">
      <alignment horizontal="right"/>
    </xf>
    <xf numFmtId="0" fontId="0" fillId="4" borderId="17" xfId="0" applyFill="1" applyBorder="1" applyAlignment="1">
      <alignment horizontal="right"/>
    </xf>
    <xf numFmtId="0" fontId="0" fillId="5" borderId="19" xfId="0" applyFill="1" applyBorder="1" applyAlignment="1">
      <alignment horizontal="right"/>
    </xf>
    <xf numFmtId="0" fontId="0" fillId="5" borderId="17" xfId="0" applyFill="1" applyBorder="1" applyAlignment="1">
      <alignment horizontal="right"/>
    </xf>
    <xf numFmtId="0" fontId="0" fillId="4" borderId="16" xfId="0" applyFill="1" applyBorder="1" applyAlignment="1">
      <alignment horizontal="right"/>
    </xf>
    <xf numFmtId="0" fontId="0" fillId="4" borderId="18" xfId="0" applyFill="1" applyBorder="1" applyAlignment="1">
      <alignment horizontal="right"/>
    </xf>
    <xf numFmtId="0" fontId="1" fillId="0" borderId="22" xfId="0" applyFont="1" applyBorder="1"/>
    <xf numFmtId="0" fontId="1" fillId="4" borderId="9" xfId="0" applyFont="1" applyFill="1" applyBorder="1"/>
    <xf numFmtId="0" fontId="1" fillId="4" borderId="10" xfId="0" applyFont="1" applyFill="1" applyBorder="1"/>
    <xf numFmtId="0" fontId="1" fillId="4" borderId="22" xfId="0" applyFont="1" applyFill="1" applyBorder="1"/>
    <xf numFmtId="164" fontId="1" fillId="4" borderId="9" xfId="0" applyNumberFormat="1" applyFont="1" applyFill="1" applyBorder="1"/>
    <xf numFmtId="0" fontId="1" fillId="4" borderId="27" xfId="0" applyFont="1" applyFill="1" applyBorder="1"/>
    <xf numFmtId="164" fontId="6" fillId="4" borderId="32" xfId="0" applyNumberFormat="1" applyFont="1" applyFill="1" applyBorder="1"/>
    <xf numFmtId="0" fontId="1" fillId="0" borderId="17" xfId="0" applyFont="1" applyBorder="1"/>
    <xf numFmtId="0" fontId="1" fillId="2" borderId="6" xfId="0" applyFont="1" applyFill="1" applyBorder="1"/>
    <xf numFmtId="0" fontId="1" fillId="2" borderId="7" xfId="0" applyFont="1" applyFill="1" applyBorder="1"/>
    <xf numFmtId="0" fontId="1" fillId="2" borderId="2" xfId="0" applyFont="1" applyFill="1" applyBorder="1"/>
    <xf numFmtId="0" fontId="1" fillId="2" borderId="4" xfId="0" applyFont="1" applyFill="1" applyBorder="1"/>
    <xf numFmtId="0" fontId="1" fillId="2" borderId="1" xfId="0" applyFont="1" applyFill="1" applyBorder="1"/>
    <xf numFmtId="0" fontId="1" fillId="2" borderId="17" xfId="0" applyFont="1" applyFill="1" applyBorder="1"/>
    <xf numFmtId="1" fontId="1" fillId="2" borderId="21" xfId="0" applyNumberFormat="1" applyFont="1" applyFill="1" applyBorder="1"/>
    <xf numFmtId="1" fontId="1" fillId="0" borderId="10" xfId="0" applyNumberFormat="1" applyFont="1" applyBorder="1"/>
    <xf numFmtId="1" fontId="0" fillId="0" borderId="2" xfId="0" applyNumberFormat="1" applyBorder="1"/>
    <xf numFmtId="2" fontId="0" fillId="0" borderId="5" xfId="0" applyNumberFormat="1" applyFill="1" applyBorder="1"/>
    <xf numFmtId="0" fontId="0" fillId="0" borderId="21" xfId="0" applyBorder="1"/>
    <xf numFmtId="0" fontId="1" fillId="0" borderId="38" xfId="0" applyNumberFormat="1" applyFont="1" applyFill="1" applyBorder="1"/>
    <xf numFmtId="1" fontId="1" fillId="2" borderId="9" xfId="0" applyNumberFormat="1" applyFont="1" applyFill="1" applyBorder="1"/>
    <xf numFmtId="2" fontId="0" fillId="0" borderId="19" xfId="0" applyNumberFormat="1" applyBorder="1"/>
    <xf numFmtId="2" fontId="0" fillId="0" borderId="17" xfId="0" applyNumberFormat="1" applyBorder="1"/>
    <xf numFmtId="0" fontId="1" fillId="2" borderId="18" xfId="0" applyFont="1" applyFill="1" applyBorder="1"/>
    <xf numFmtId="0" fontId="1" fillId="2" borderId="0" xfId="0" applyFont="1" applyFill="1"/>
    <xf numFmtId="0" fontId="1" fillId="0" borderId="0" xfId="0" applyFont="1" applyBorder="1" applyAlignment="1">
      <alignment horizontal="right"/>
    </xf>
    <xf numFmtId="165" fontId="1" fillId="0" borderId="0" xfId="2" applyNumberFormat="1" applyFont="1" applyBorder="1" applyAlignment="1"/>
    <xf numFmtId="164" fontId="0" fillId="0" borderId="61" xfId="0" applyNumberFormat="1" applyBorder="1" applyAlignment="1"/>
    <xf numFmtId="0" fontId="0" fillId="0" borderId="21" xfId="0" applyBorder="1" applyAlignment="1">
      <alignment horizontal="right"/>
    </xf>
    <xf numFmtId="0" fontId="8" fillId="0" borderId="5" xfId="0" applyFont="1" applyBorder="1"/>
    <xf numFmtId="171" fontId="1" fillId="0" borderId="38" xfId="2" applyNumberFormat="1" applyFont="1" applyFill="1" applyBorder="1"/>
    <xf numFmtId="0" fontId="0" fillId="0" borderId="0" xfId="0" applyAlignment="1">
      <alignment horizontal="center"/>
    </xf>
    <xf numFmtId="1" fontId="0" fillId="6" borderId="3" xfId="0" applyNumberFormat="1" applyFill="1" applyBorder="1"/>
    <xf numFmtId="164" fontId="0" fillId="6" borderId="0" xfId="0" applyNumberFormat="1" applyFill="1" applyBorder="1"/>
    <xf numFmtId="164" fontId="0" fillId="6" borderId="1" xfId="0" applyNumberFormat="1" applyFill="1" applyBorder="1"/>
    <xf numFmtId="0" fontId="0" fillId="6" borderId="0" xfId="0" applyNumberFormat="1" applyFill="1" applyBorder="1"/>
    <xf numFmtId="0" fontId="0" fillId="6" borderId="2" xfId="0" applyNumberFormat="1" applyFill="1" applyBorder="1"/>
    <xf numFmtId="0" fontId="0" fillId="6" borderId="0" xfId="0" applyFill="1"/>
    <xf numFmtId="2" fontId="0" fillId="6" borderId="0" xfId="0" applyNumberFormat="1" applyFill="1"/>
    <xf numFmtId="1" fontId="0" fillId="6" borderId="0" xfId="0" applyNumberFormat="1" applyFill="1" applyBorder="1"/>
    <xf numFmtId="2" fontId="0" fillId="6" borderId="0" xfId="0" applyNumberFormat="1" applyFill="1" applyBorder="1"/>
    <xf numFmtId="0" fontId="0" fillId="6" borderId="1" xfId="0" applyFill="1" applyBorder="1"/>
    <xf numFmtId="1" fontId="0" fillId="6" borderId="0" xfId="0" applyNumberFormat="1" applyFill="1"/>
    <xf numFmtId="1" fontId="0" fillId="4" borderId="0" xfId="0" applyNumberFormat="1" applyFill="1"/>
    <xf numFmtId="164" fontId="0" fillId="6" borderId="0" xfId="0" applyNumberFormat="1" applyFill="1"/>
    <xf numFmtId="0" fontId="0" fillId="6" borderId="2" xfId="0" applyFill="1" applyBorder="1"/>
    <xf numFmtId="0" fontId="0" fillId="6" borderId="0" xfId="0" applyFill="1" applyAlignment="1">
      <alignment horizontal="center"/>
    </xf>
    <xf numFmtId="0" fontId="0" fillId="6" borderId="0" xfId="0" applyFill="1" applyAlignment="1">
      <alignment wrapText="1"/>
    </xf>
    <xf numFmtId="0" fontId="0" fillId="6" borderId="0" xfId="0" applyFill="1" applyAlignment="1">
      <alignment horizontal="right"/>
    </xf>
    <xf numFmtId="2" fontId="0" fillId="6" borderId="1" xfId="0" applyNumberFormat="1" applyFill="1" applyBorder="1"/>
    <xf numFmtId="0" fontId="1" fillId="0" borderId="0" xfId="0" applyFont="1" applyAlignment="1">
      <alignment horizontal="left"/>
    </xf>
    <xf numFmtId="0" fontId="0" fillId="8" borderId="0" xfId="0" applyFill="1" applyBorder="1" applyAlignment="1">
      <alignment horizontal="left" wrapText="1"/>
    </xf>
    <xf numFmtId="0" fontId="0" fillId="8" borderId="1" xfId="0" applyFill="1" applyBorder="1" applyAlignment="1">
      <alignment horizontal="left" wrapText="1"/>
    </xf>
    <xf numFmtId="0" fontId="9" fillId="9" borderId="0" xfId="0" applyFont="1" applyFill="1" applyAlignment="1">
      <alignment horizontal="left"/>
    </xf>
    <xf numFmtId="0" fontId="0" fillId="8" borderId="0" xfId="0" applyFill="1" applyAlignment="1">
      <alignment horizontal="left"/>
    </xf>
    <xf numFmtId="0" fontId="0" fillId="7" borderId="0" xfId="0" applyFill="1" applyAlignment="1">
      <alignment horizontal="left"/>
    </xf>
    <xf numFmtId="0" fontId="0" fillId="8" borderId="0" xfId="0" applyFill="1" applyAlignment="1">
      <alignment horizontal="left" wrapText="1"/>
    </xf>
    <xf numFmtId="0" fontId="0" fillId="7" borderId="0" xfId="0" applyFill="1" applyAlignment="1">
      <alignment horizontal="left" wrapText="1"/>
    </xf>
    <xf numFmtId="0" fontId="1" fillId="0" borderId="0" xfId="0" applyFont="1" applyAlignment="1">
      <alignment horizontal="right"/>
    </xf>
    <xf numFmtId="0" fontId="1" fillId="0" borderId="1" xfId="0" applyFont="1" applyBorder="1" applyAlignment="1">
      <alignment horizontal="right"/>
    </xf>
    <xf numFmtId="0" fontId="1" fillId="2" borderId="15" xfId="0" applyFont="1" applyFill="1" applyBorder="1" applyAlignment="1">
      <alignment horizontal="center"/>
    </xf>
    <xf numFmtId="0" fontId="1" fillId="2" borderId="6" xfId="0" applyFont="1" applyFill="1" applyBorder="1" applyAlignment="1">
      <alignment horizontal="center"/>
    </xf>
    <xf numFmtId="0" fontId="0" fillId="0" borderId="0" xfId="0" applyBorder="1" applyAlignment="1">
      <alignment horizontal="right"/>
    </xf>
    <xf numFmtId="0" fontId="0" fillId="0" borderId="5" xfId="0"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0" fillId="0" borderId="0" xfId="0" applyFill="1" applyBorder="1" applyAlignment="1">
      <alignment horizontal="right"/>
    </xf>
    <xf numFmtId="0" fontId="0" fillId="0" borderId="5" xfId="0" applyFill="1" applyBorder="1" applyAlignment="1">
      <alignment horizontal="right"/>
    </xf>
    <xf numFmtId="0" fontId="1" fillId="0" borderId="41" xfId="0" applyFont="1" applyBorder="1" applyAlignment="1">
      <alignment horizontal="right"/>
    </xf>
    <xf numFmtId="0" fontId="1" fillId="0" borderId="40" xfId="0" applyFont="1" applyBorder="1" applyAlignment="1">
      <alignment horizontal="right"/>
    </xf>
    <xf numFmtId="0" fontId="1" fillId="2" borderId="42" xfId="0" applyFont="1" applyFill="1" applyBorder="1" applyAlignment="1">
      <alignment horizontal="center"/>
    </xf>
    <xf numFmtId="0" fontId="1" fillId="2" borderId="44" xfId="0" applyFont="1" applyFill="1" applyBorder="1" applyAlignment="1">
      <alignment horizontal="center"/>
    </xf>
    <xf numFmtId="0" fontId="0" fillId="0" borderId="51" xfId="0" applyFill="1" applyBorder="1" applyAlignment="1">
      <alignment horizontal="right"/>
    </xf>
    <xf numFmtId="0" fontId="0" fillId="0" borderId="4" xfId="0" applyBorder="1" applyAlignment="1">
      <alignment horizontal="right"/>
    </xf>
    <xf numFmtId="0" fontId="1" fillId="0" borderId="49" xfId="0" applyFont="1" applyBorder="1" applyAlignment="1">
      <alignment horizontal="left"/>
    </xf>
    <xf numFmtId="0" fontId="1" fillId="0" borderId="48" xfId="0" applyFont="1" applyBorder="1" applyAlignment="1">
      <alignment horizontal="left"/>
    </xf>
    <xf numFmtId="0" fontId="0" fillId="0" borderId="52" xfId="0" applyBorder="1" applyAlignment="1">
      <alignment horizontal="right"/>
    </xf>
    <xf numFmtId="0" fontId="0" fillId="0" borderId="51" xfId="0" applyBorder="1" applyAlignment="1">
      <alignment horizontal="right"/>
    </xf>
    <xf numFmtId="0" fontId="0" fillId="0" borderId="12" xfId="0" applyFont="1" applyFill="1" applyBorder="1" applyAlignment="1">
      <alignment horizontal="right"/>
    </xf>
    <xf numFmtId="0" fontId="0" fillId="0" borderId="13" xfId="0" applyFont="1" applyFill="1" applyBorder="1" applyAlignment="1">
      <alignment horizontal="right"/>
    </xf>
    <xf numFmtId="0" fontId="1" fillId="2" borderId="44" xfId="0" applyFont="1" applyFill="1" applyBorder="1" applyAlignment="1">
      <alignment horizontal="right"/>
    </xf>
    <xf numFmtId="0" fontId="1" fillId="2" borderId="46" xfId="0" applyFont="1" applyFill="1" applyBorder="1" applyAlignment="1">
      <alignment horizontal="right"/>
    </xf>
    <xf numFmtId="0" fontId="0" fillId="0" borderId="53" xfId="0" applyBorder="1" applyAlignment="1">
      <alignment horizontal="right"/>
    </xf>
    <xf numFmtId="0" fontId="0" fillId="0" borderId="0" xfId="0" applyAlignment="1">
      <alignment horizontal="right"/>
    </xf>
    <xf numFmtId="0" fontId="1" fillId="2" borderId="49" xfId="0" applyFont="1" applyFill="1" applyBorder="1" applyAlignment="1">
      <alignment horizontal="right"/>
    </xf>
    <xf numFmtId="0" fontId="1" fillId="2" borderId="48" xfId="0" applyFont="1" applyFill="1" applyBorder="1" applyAlignment="1">
      <alignment horizontal="right"/>
    </xf>
    <xf numFmtId="0" fontId="1" fillId="0" borderId="60" xfId="0" applyFont="1" applyFill="1" applyBorder="1" applyAlignment="1">
      <alignment horizontal="right"/>
    </xf>
    <xf numFmtId="0" fontId="1" fillId="0" borderId="24" xfId="0" applyFont="1" applyFill="1" applyBorder="1" applyAlignment="1">
      <alignment horizontal="right"/>
    </xf>
    <xf numFmtId="0" fontId="1" fillId="2" borderId="58" xfId="0" applyFont="1" applyFill="1" applyBorder="1" applyAlignment="1">
      <alignment horizontal="right"/>
    </xf>
    <xf numFmtId="0" fontId="1" fillId="2" borderId="59" xfId="0" applyFont="1" applyFill="1" applyBorder="1" applyAlignment="1">
      <alignment horizontal="right"/>
    </xf>
    <xf numFmtId="0" fontId="1" fillId="2" borderId="7" xfId="0" applyFont="1" applyFill="1" applyBorder="1" applyAlignment="1">
      <alignment horizontal="center"/>
    </xf>
    <xf numFmtId="0" fontId="1" fillId="2" borderId="21" xfId="0" applyFont="1" applyFill="1" applyBorder="1" applyAlignment="1">
      <alignment horizontal="center"/>
    </xf>
    <xf numFmtId="0" fontId="1" fillId="2" borderId="11" xfId="0" applyFont="1" applyFill="1" applyBorder="1" applyAlignment="1">
      <alignment horizontal="center"/>
    </xf>
    <xf numFmtId="0" fontId="6" fillId="0" borderId="8" xfId="0" applyFont="1" applyFill="1" applyBorder="1" applyAlignment="1">
      <alignment horizontal="left"/>
    </xf>
    <xf numFmtId="0" fontId="6" fillId="0" borderId="9" xfId="0" applyFont="1" applyFill="1" applyBorder="1" applyAlignment="1">
      <alignment horizontal="left"/>
    </xf>
    <xf numFmtId="0" fontId="6" fillId="2" borderId="36" xfId="0" applyFont="1" applyFill="1" applyBorder="1" applyAlignment="1">
      <alignment horizontal="left"/>
    </xf>
    <xf numFmtId="0" fontId="6" fillId="2" borderId="37" xfId="0" applyFont="1" applyFill="1" applyBorder="1" applyAlignment="1">
      <alignment horizontal="left"/>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9"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25" xfId="0" applyBorder="1" applyAlignment="1">
      <alignment horizontal="center" vertical="center"/>
    </xf>
    <xf numFmtId="16" fontId="0" fillId="4" borderId="5" xfId="0" applyNumberFormat="1" applyFont="1" applyFill="1" applyBorder="1" applyAlignment="1">
      <alignment horizontal="center" vertical="center"/>
    </xf>
    <xf numFmtId="16" fontId="0" fillId="4" borderId="4" xfId="0" applyNumberFormat="1" applyFont="1" applyFill="1" applyBorder="1" applyAlignment="1">
      <alignment horizontal="center" vertical="center"/>
    </xf>
    <xf numFmtId="0" fontId="1" fillId="0" borderId="20" xfId="0" applyFont="1" applyBorder="1" applyAlignment="1">
      <alignment horizontal="center"/>
    </xf>
    <xf numFmtId="0" fontId="1" fillId="0" borderId="2" xfId="0" applyFont="1" applyBorder="1" applyAlignment="1">
      <alignment horizontal="center"/>
    </xf>
    <xf numFmtId="0" fontId="1" fillId="0" borderId="21" xfId="0" applyFont="1" applyBorder="1" applyAlignment="1">
      <alignment horizontal="center"/>
    </xf>
    <xf numFmtId="0" fontId="1" fillId="0" borderId="1" xfId="0" applyFont="1" applyBorder="1" applyAlignment="1">
      <alignment horizontal="center"/>
    </xf>
    <xf numFmtId="0" fontId="1" fillId="0" borderId="39" xfId="0" applyFont="1" applyBorder="1" applyAlignment="1">
      <alignment horizontal="center"/>
    </xf>
    <xf numFmtId="0" fontId="1" fillId="0" borderId="25" xfId="0" applyFont="1" applyBorder="1" applyAlignment="1">
      <alignment horizontal="center"/>
    </xf>
    <xf numFmtId="0" fontId="1" fillId="0" borderId="20" xfId="0" applyFont="1" applyBorder="1" applyAlignment="1">
      <alignment horizontal="left"/>
    </xf>
    <xf numFmtId="0" fontId="1" fillId="0" borderId="2" xfId="0" applyFont="1" applyBorder="1" applyAlignment="1">
      <alignment horizontal="left"/>
    </xf>
    <xf numFmtId="0" fontId="1" fillId="0" borderId="19" xfId="0" applyFont="1" applyBorder="1" applyAlignment="1">
      <alignment horizontal="left"/>
    </xf>
    <xf numFmtId="0" fontId="1" fillId="0" borderId="17" xfId="0" applyFont="1" applyBorder="1" applyAlignment="1">
      <alignment horizontal="left"/>
    </xf>
    <xf numFmtId="16" fontId="0" fillId="5" borderId="56" xfId="0" applyNumberFormat="1" applyFont="1" applyFill="1" applyBorder="1" applyAlignment="1">
      <alignment horizontal="center" vertical="center"/>
    </xf>
    <xf numFmtId="16" fontId="0" fillId="5" borderId="57" xfId="0" applyNumberFormat="1" applyFont="1" applyFill="1" applyBorder="1" applyAlignment="1">
      <alignment horizontal="center" vertical="center"/>
    </xf>
    <xf numFmtId="16" fontId="0" fillId="4" borderId="56" xfId="0" applyNumberFormat="1" applyFont="1" applyFill="1" applyBorder="1" applyAlignment="1">
      <alignment horizontal="center" vertical="center"/>
    </xf>
    <xf numFmtId="16" fontId="0" fillId="4" borderId="47" xfId="0" applyNumberFormat="1" applyFont="1" applyFill="1" applyBorder="1" applyAlignment="1">
      <alignment horizontal="center" vertical="center"/>
    </xf>
    <xf numFmtId="16" fontId="0" fillId="4" borderId="57" xfId="0" applyNumberFormat="1" applyFont="1" applyFill="1" applyBorder="1" applyAlignment="1">
      <alignment horizontal="center" vertical="center"/>
    </xf>
    <xf numFmtId="16" fontId="0" fillId="5" borderId="11" xfId="0" applyNumberFormat="1" applyFont="1" applyFill="1" applyBorder="1" applyAlignment="1">
      <alignment horizontal="center" vertical="center"/>
    </xf>
    <xf numFmtId="16" fontId="0" fillId="5" borderId="4" xfId="0" applyNumberFormat="1" applyFont="1" applyFill="1" applyBorder="1" applyAlignment="1">
      <alignment horizontal="center" vertical="center"/>
    </xf>
    <xf numFmtId="0" fontId="0" fillId="5" borderId="20" xfId="0" applyFill="1" applyBorder="1" applyAlignment="1">
      <alignment horizontal="center" vertical="center" wrapText="1"/>
    </xf>
    <xf numFmtId="0" fontId="0" fillId="5" borderId="2"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 xfId="0" applyFill="1" applyBorder="1" applyAlignment="1">
      <alignment horizontal="center" vertical="center" wrapText="1"/>
    </xf>
    <xf numFmtId="0" fontId="0" fillId="5" borderId="15" xfId="0" applyFill="1" applyBorder="1" applyAlignment="1">
      <alignment horizontal="center" wrapText="1"/>
    </xf>
    <xf numFmtId="0" fontId="0" fillId="5" borderId="7" xfId="0" applyFill="1" applyBorder="1" applyAlignment="1">
      <alignment horizontal="center" wrapText="1"/>
    </xf>
    <xf numFmtId="0" fontId="0" fillId="5" borderId="28" xfId="0" applyFill="1" applyBorder="1" applyAlignment="1">
      <alignment horizontal="center" wrapText="1"/>
    </xf>
    <xf numFmtId="0" fontId="1" fillId="0" borderId="15" xfId="0" applyFont="1" applyBorder="1" applyAlignment="1">
      <alignment horizontal="center"/>
    </xf>
    <xf numFmtId="0" fontId="1" fillId="0" borderId="6" xfId="0" applyFont="1" applyBorder="1" applyAlignment="1">
      <alignment horizontal="center"/>
    </xf>
    <xf numFmtId="0" fontId="0" fillId="4" borderId="3" xfId="0" applyFill="1" applyBorder="1" applyAlignment="1">
      <alignment horizontal="center" vertical="center" wrapText="1"/>
    </xf>
    <xf numFmtId="16" fontId="0" fillId="4" borderId="11" xfId="0" applyNumberFormat="1" applyFont="1" applyFill="1" applyBorder="1" applyAlignment="1">
      <alignment horizontal="center" vertical="center"/>
    </xf>
    <xf numFmtId="0" fontId="1" fillId="0" borderId="0"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xf numFmtId="0" fontId="1" fillId="2" borderId="8" xfId="0" applyFont="1" applyFill="1" applyBorder="1" applyAlignment="1">
      <alignment horizontal="center"/>
    </xf>
    <xf numFmtId="0" fontId="1" fillId="2" borderId="10" xfId="0" applyFont="1" applyFill="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xf>
    <xf numFmtId="0" fontId="3" fillId="2" borderId="0" xfId="0" applyFont="1" applyFill="1" applyAlignment="1">
      <alignment horizontal="center"/>
    </xf>
    <xf numFmtId="0" fontId="5" fillId="3" borderId="0" xfId="0" applyFont="1" applyFill="1" applyAlignment="1">
      <alignment horizontal="center"/>
    </xf>
    <xf numFmtId="0" fontId="0" fillId="0" borderId="3" xfId="0" applyBorder="1" applyAlignment="1">
      <alignment horizontal="center"/>
    </xf>
    <xf numFmtId="0" fontId="0" fillId="0" borderId="0" xfId="0" applyAlignment="1">
      <alignment horizontal="center"/>
    </xf>
    <xf numFmtId="0" fontId="1" fillId="0" borderId="19" xfId="0" applyFont="1" applyBorder="1" applyAlignment="1">
      <alignment horizontal="center" wrapText="1"/>
    </xf>
    <xf numFmtId="0" fontId="1" fillId="0" borderId="17" xfId="0" applyFont="1" applyBorder="1" applyAlignment="1">
      <alignment horizontal="center" wrapText="1"/>
    </xf>
    <xf numFmtId="0" fontId="1" fillId="0" borderId="19" xfId="0" applyFont="1" applyBorder="1" applyAlignment="1">
      <alignment horizontal="center"/>
    </xf>
    <xf numFmtId="0" fontId="1" fillId="0" borderId="17" xfId="0" applyFont="1" applyBorder="1" applyAlignment="1">
      <alignment horizontal="center"/>
    </xf>
    <xf numFmtId="0" fontId="1" fillId="0" borderId="7" xfId="0" applyFont="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center"/>
    </xf>
    <xf numFmtId="0" fontId="7" fillId="2" borderId="15" xfId="0" applyFont="1" applyFill="1" applyBorder="1" applyAlignment="1">
      <alignment horizontal="center"/>
    </xf>
    <xf numFmtId="0" fontId="7" fillId="2" borderId="7" xfId="0" applyFont="1" applyFill="1" applyBorder="1" applyAlignment="1">
      <alignment horizontal="center"/>
    </xf>
    <xf numFmtId="0" fontId="7" fillId="2" borderId="6" xfId="0" applyFont="1" applyFill="1" applyBorder="1" applyAlignment="1">
      <alignment horizontal="center"/>
    </xf>
    <xf numFmtId="0" fontId="1" fillId="2" borderId="1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15" xfId="0" applyFont="1" applyFill="1" applyBorder="1" applyAlignment="1">
      <alignment horizontal="center"/>
    </xf>
    <xf numFmtId="0" fontId="1" fillId="0" borderId="7" xfId="0" applyFont="1" applyFill="1" applyBorder="1" applyAlignment="1">
      <alignment horizontal="center"/>
    </xf>
    <xf numFmtId="0" fontId="0" fillId="0" borderId="20" xfId="0" applyBorder="1" applyAlignment="1">
      <alignment horizontal="left"/>
    </xf>
    <xf numFmtId="0" fontId="0" fillId="0" borderId="21" xfId="0" applyBorder="1" applyAlignment="1">
      <alignment horizontal="left"/>
    </xf>
    <xf numFmtId="0" fontId="0" fillId="0" borderId="3" xfId="0" applyBorder="1" applyAlignment="1">
      <alignment horizontal="left"/>
    </xf>
    <xf numFmtId="0" fontId="0" fillId="0" borderId="0"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1" fillId="2" borderId="8" xfId="0" applyFont="1" applyFill="1" applyBorder="1" applyAlignment="1">
      <alignment horizontal="left"/>
    </xf>
    <xf numFmtId="0" fontId="1" fillId="2" borderId="10" xfId="0" applyFont="1" applyFill="1" applyBorder="1" applyAlignment="1">
      <alignment horizontal="left"/>
    </xf>
  </cellXfs>
  <cellStyles count="3">
    <cellStyle name="Comma" xfId="2" builtinId="3"/>
    <cellStyle name="Normal" xfId="0" builtinId="0"/>
    <cellStyle name="Percent" xfId="1" builtinId="5"/>
  </cellStyles>
  <dxfs count="17">
    <dxf>
      <fill>
        <patternFill patternType="solid">
          <fgColor indexed="64"/>
          <bgColor theme="9"/>
        </patternFill>
      </fill>
    </dxf>
    <dxf>
      <numFmt numFmtId="170" formatCode="[$-409]h:mm\ AM/PM;@"/>
    </dxf>
    <dxf>
      <fill>
        <patternFill patternType="solid">
          <fgColor indexed="64"/>
          <bgColor theme="9"/>
        </patternFill>
      </fill>
      <alignment horizontal="general" vertical="bottom" textRotation="0" wrapText="1" indent="0" justifyLastLine="0" shrinkToFit="0" readingOrder="0"/>
    </dxf>
    <dxf>
      <fill>
        <patternFill patternType="solid">
          <fgColor indexed="64"/>
          <bgColor theme="9"/>
        </patternFill>
      </fill>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70" formatCode="[$-409]h:mm\ AM/PM;@"/>
      <alignment horizontal="left" vertical="bottom" textRotation="0" wrapText="0" indent="0" justifyLastLine="0" shrinkToFit="0" readingOrder="0"/>
    </dxf>
    <dxf>
      <numFmt numFmtId="170" formatCode="[$-409]h:mm\ AM/PM;@"/>
    </dxf>
    <dxf>
      <numFmt numFmtId="170" formatCode="[$-409]h:mm\ AM/PM;@"/>
      <alignment horizontal="center" vertical="bottom" textRotation="0" wrapText="0" indent="0" justifyLastLine="0" shrinkToFit="0" readingOrder="0"/>
    </dxf>
    <dxf>
      <numFmt numFmtId="170" formatCode="[$-409]h:mm\ AM/PM;@"/>
    </dxf>
    <dxf>
      <numFmt numFmtId="170" formatCode="[$-409]h:mm\ AM/PM;@"/>
    </dxf>
    <dxf>
      <numFmt numFmtId="170" formatCode="[$-409]h:mm\ AM/PM;@"/>
    </dxf>
    <dxf>
      <numFmt numFmtId="169" formatCode="m/d/yy;@"/>
      <alignment horizontal="center" vertical="center" textRotation="0" wrapText="0" indent="0" justifyLastLine="0" shrinkToFit="0" readingOrder="0"/>
    </dxf>
    <dxf>
      <numFmt numFmtId="169" formatCode="m/d/yy;@"/>
      <alignment horizontal="center" vertical="center" textRotation="0" wrapText="0" indent="0" justifyLastLine="0" shrinkToFit="0" readingOrder="0"/>
    </dxf>
    <dxf>
      <border outline="0">
        <top style="thin">
          <color indexed="64"/>
        </top>
      </border>
    </dxf>
    <dxf>
      <numFmt numFmtId="170" formatCode="[$-409]h:mm\ AM/PM;@"/>
    </dxf>
  </dxfs>
  <tableStyles count="0" defaultTableStyle="TableStyleMedium2" defaultPivotStyle="PivotStyleLight16"/>
  <colors>
    <mruColors>
      <color rgb="FFFF7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44C032-F4D8-446F-BF9C-E6CC7E0BD1D3}" name="Table6" displayName="Table6" ref="A14:C29" totalsRowShown="0">
  <tableColumns count="3">
    <tableColumn id="1" xr3:uid="{C2F9F496-699A-4225-80AB-80F862AA7541}" name="Sheet Order"/>
    <tableColumn id="2" xr3:uid="{6602C790-1D69-42EE-ABD6-65C020861E19}" name="Sheet Name"/>
    <tableColumn id="3" xr3:uid="{ED3BF1E4-F8D0-4269-B466-45FD6BE6591B}" name="Descrip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67377D-3CB4-1145-87D3-4C677E5990C5}" name="Table1" displayName="Table1" ref="A10:H62" headerRowCount="0" totalsRowShown="0" headerRowDxfId="16" tableBorderDxfId="15">
  <tableColumns count="8">
    <tableColumn id="1" xr3:uid="{F027CED5-7768-8845-B3F3-A65938C916D7}" name="Column1" headerRowDxfId="14" dataDxfId="13"/>
    <tableColumn id="2" xr3:uid="{D45FC9F2-1118-1140-ACD2-AD3CA873CED7}" name="Column2" headerRowDxfId="12" dataDxfId="11"/>
    <tableColumn id="3" xr3:uid="{59C327B1-9E21-9C4D-84AE-098C5CCE38E5}" name="Column3" headerRowDxfId="10" dataDxfId="9"/>
    <tableColumn id="4" xr3:uid="{C82FE100-C174-6E4E-9FF0-48ADBEBF96FD}" name="Column4" headerRowDxfId="8" dataDxfId="7"/>
    <tableColumn id="5" xr3:uid="{615E76CB-334C-7F4E-9381-D96B5EF59834}" name="Column5" headerRowDxfId="6" dataDxfId="5"/>
    <tableColumn id="8" xr3:uid="{8A49164D-0E59-4C41-95C0-53C760800E82}" name="Column10" headerRowDxfId="4" dataDxfId="3"/>
    <tableColumn id="6" xr3:uid="{5B64B5C6-5D87-3C4B-AC70-CF08E7327DBB}" name="Column6" dataDxfId="2"/>
    <tableColumn id="9" xr3:uid="{2B2BBE41-7A42-F242-B5E3-C32FE0589A1E}" name="Column8" headerRowDxfId="1" dataDxfId="0"/>
  </tableColumns>
  <tableStyleInfo name="TableStyleLight2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4006-86B6-4725-9BF4-69EF74C6EC0B}">
  <dimension ref="A1:I29"/>
  <sheetViews>
    <sheetView tabSelected="1" workbookViewId="0">
      <selection sqref="A1:I1"/>
    </sheetView>
  </sheetViews>
  <sheetFormatPr defaultRowHeight="15.6" x14ac:dyDescent="0.3"/>
  <cols>
    <col min="1" max="1" width="11.796875" customWidth="1"/>
    <col min="2" max="2" width="22.59765625" customWidth="1"/>
    <col min="3" max="3" width="65" customWidth="1"/>
  </cols>
  <sheetData>
    <row r="1" spans="1:9" x14ac:dyDescent="0.3">
      <c r="A1" s="307" t="s">
        <v>449</v>
      </c>
      <c r="B1" s="307"/>
      <c r="C1" s="307"/>
      <c r="D1" s="307"/>
      <c r="E1" s="307"/>
      <c r="F1" s="307"/>
      <c r="G1" s="307"/>
      <c r="H1" s="307"/>
      <c r="I1" s="307"/>
    </row>
    <row r="2" spans="1:9" x14ac:dyDescent="0.3">
      <c r="A2" s="308" t="s">
        <v>424</v>
      </c>
      <c r="B2" s="308"/>
      <c r="C2" s="308"/>
      <c r="D2" s="308"/>
      <c r="E2" s="308"/>
      <c r="F2" s="308"/>
      <c r="G2" s="308"/>
      <c r="H2" s="308"/>
      <c r="I2" s="308"/>
    </row>
    <row r="3" spans="1:9" x14ac:dyDescent="0.3">
      <c r="A3" s="309" t="s">
        <v>425</v>
      </c>
      <c r="B3" s="309"/>
      <c r="C3" s="309"/>
      <c r="D3" s="309"/>
      <c r="E3" s="309"/>
      <c r="F3" s="309"/>
      <c r="G3" s="309"/>
      <c r="H3" s="309"/>
      <c r="I3" s="309"/>
    </row>
    <row r="4" spans="1:9" ht="15.6" customHeight="1" x14ac:dyDescent="0.3">
      <c r="A4" s="310" t="s">
        <v>426</v>
      </c>
      <c r="B4" s="310"/>
      <c r="C4" s="310"/>
      <c r="D4" s="310"/>
      <c r="E4" s="310"/>
      <c r="F4" s="310"/>
      <c r="G4" s="310"/>
      <c r="H4" s="310"/>
      <c r="I4" s="310"/>
    </row>
    <row r="5" spans="1:9" ht="15.6" customHeight="1" x14ac:dyDescent="0.3">
      <c r="A5" s="311" t="s">
        <v>423</v>
      </c>
      <c r="B5" s="311"/>
      <c r="C5" s="311"/>
      <c r="D5" s="311"/>
      <c r="E5" s="311"/>
      <c r="F5" s="311"/>
      <c r="G5" s="311"/>
      <c r="H5" s="311"/>
      <c r="I5" s="311"/>
    </row>
    <row r="6" spans="1:9" x14ac:dyDescent="0.3">
      <c r="A6" s="311"/>
      <c r="B6" s="311"/>
      <c r="C6" s="311"/>
      <c r="D6" s="311"/>
      <c r="E6" s="311"/>
      <c r="F6" s="311"/>
      <c r="G6" s="311"/>
      <c r="H6" s="311"/>
      <c r="I6" s="311"/>
    </row>
    <row r="7" spans="1:9" x14ac:dyDescent="0.3">
      <c r="A7" s="311"/>
      <c r="B7" s="311"/>
      <c r="C7" s="311"/>
      <c r="D7" s="311"/>
      <c r="E7" s="311"/>
      <c r="F7" s="311"/>
      <c r="G7" s="311"/>
      <c r="H7" s="311"/>
      <c r="I7" s="311"/>
    </row>
    <row r="8" spans="1:9" x14ac:dyDescent="0.3">
      <c r="A8" s="311"/>
      <c r="B8" s="311"/>
      <c r="C8" s="311"/>
      <c r="D8" s="311"/>
      <c r="E8" s="311"/>
      <c r="F8" s="311"/>
      <c r="G8" s="311"/>
      <c r="H8" s="311"/>
      <c r="I8" s="311"/>
    </row>
    <row r="9" spans="1:9" ht="15.6" customHeight="1" x14ac:dyDescent="0.3">
      <c r="A9" s="305" t="s">
        <v>448</v>
      </c>
      <c r="B9" s="305"/>
      <c r="C9" s="305"/>
      <c r="D9" s="305"/>
      <c r="E9" s="305"/>
      <c r="F9" s="305"/>
      <c r="G9" s="305"/>
      <c r="H9" s="305"/>
      <c r="I9" s="305"/>
    </row>
    <row r="10" spans="1:9" x14ac:dyDescent="0.3">
      <c r="A10" s="305"/>
      <c r="B10" s="305"/>
      <c r="C10" s="305"/>
      <c r="D10" s="305"/>
      <c r="E10" s="305"/>
      <c r="F10" s="305"/>
      <c r="G10" s="305"/>
      <c r="H10" s="305"/>
      <c r="I10" s="305"/>
    </row>
    <row r="11" spans="1:9" x14ac:dyDescent="0.3">
      <c r="A11" s="305"/>
      <c r="B11" s="305"/>
      <c r="C11" s="305"/>
      <c r="D11" s="305"/>
      <c r="E11" s="305"/>
      <c r="F11" s="305"/>
      <c r="G11" s="305"/>
      <c r="H11" s="305"/>
      <c r="I11" s="305"/>
    </row>
    <row r="12" spans="1:9" x14ac:dyDescent="0.3">
      <c r="A12" s="306"/>
      <c r="B12" s="306"/>
      <c r="C12" s="306"/>
      <c r="D12" s="306"/>
      <c r="E12" s="306"/>
      <c r="F12" s="306"/>
      <c r="G12" s="306"/>
      <c r="H12" s="306"/>
      <c r="I12" s="306"/>
    </row>
    <row r="13" spans="1:9" x14ac:dyDescent="0.3">
      <c r="A13" s="304" t="s">
        <v>446</v>
      </c>
      <c r="B13" s="304"/>
      <c r="C13" s="304"/>
      <c r="D13" s="304"/>
      <c r="E13" s="304"/>
      <c r="F13" s="304"/>
      <c r="G13" s="304"/>
      <c r="H13" s="304"/>
      <c r="I13" s="304"/>
    </row>
    <row r="14" spans="1:9" x14ac:dyDescent="0.3">
      <c r="A14" s="285" t="s">
        <v>447</v>
      </c>
      <c r="B14" t="s">
        <v>427</v>
      </c>
      <c r="C14" t="s">
        <v>437</v>
      </c>
    </row>
    <row r="15" spans="1:9" x14ac:dyDescent="0.3">
      <c r="A15">
        <v>1</v>
      </c>
      <c r="B15" t="s">
        <v>450</v>
      </c>
      <c r="C15" t="s">
        <v>431</v>
      </c>
    </row>
    <row r="16" spans="1:9" x14ac:dyDescent="0.3">
      <c r="A16">
        <v>2</v>
      </c>
      <c r="B16" t="s">
        <v>397</v>
      </c>
      <c r="C16" t="s">
        <v>432</v>
      </c>
    </row>
    <row r="17" spans="1:3" x14ac:dyDescent="0.3">
      <c r="A17">
        <v>3</v>
      </c>
      <c r="B17" t="s">
        <v>451</v>
      </c>
      <c r="C17" t="s">
        <v>433</v>
      </c>
    </row>
    <row r="18" spans="1:3" x14ac:dyDescent="0.3">
      <c r="A18">
        <v>4</v>
      </c>
      <c r="B18" t="s">
        <v>452</v>
      </c>
      <c r="C18" t="s">
        <v>434</v>
      </c>
    </row>
    <row r="19" spans="1:3" x14ac:dyDescent="0.3">
      <c r="A19">
        <v>5</v>
      </c>
      <c r="B19" t="s">
        <v>453</v>
      </c>
      <c r="C19" t="s">
        <v>435</v>
      </c>
    </row>
    <row r="20" spans="1:3" x14ac:dyDescent="0.3">
      <c r="A20">
        <v>6</v>
      </c>
      <c r="B20" t="s">
        <v>391</v>
      </c>
      <c r="C20" t="s">
        <v>436</v>
      </c>
    </row>
    <row r="21" spans="1:3" x14ac:dyDescent="0.3">
      <c r="A21">
        <v>7</v>
      </c>
      <c r="B21" t="s">
        <v>454</v>
      </c>
      <c r="C21" t="s">
        <v>438</v>
      </c>
    </row>
    <row r="22" spans="1:3" x14ac:dyDescent="0.3">
      <c r="A22">
        <v>8</v>
      </c>
      <c r="B22" t="s">
        <v>455</v>
      </c>
      <c r="C22" t="s">
        <v>462</v>
      </c>
    </row>
    <row r="23" spans="1:3" x14ac:dyDescent="0.3">
      <c r="A23">
        <v>9</v>
      </c>
      <c r="B23" t="s">
        <v>456</v>
      </c>
      <c r="C23" t="s">
        <v>439</v>
      </c>
    </row>
    <row r="24" spans="1:3" x14ac:dyDescent="0.3">
      <c r="A24">
        <v>10</v>
      </c>
      <c r="B24" t="s">
        <v>457</v>
      </c>
      <c r="C24" t="s">
        <v>440</v>
      </c>
    </row>
    <row r="25" spans="1:3" x14ac:dyDescent="0.3">
      <c r="A25">
        <v>11</v>
      </c>
      <c r="B25" t="s">
        <v>458</v>
      </c>
      <c r="C25" t="s">
        <v>441</v>
      </c>
    </row>
    <row r="26" spans="1:3" x14ac:dyDescent="0.3">
      <c r="A26">
        <v>12</v>
      </c>
      <c r="B26" t="s">
        <v>429</v>
      </c>
      <c r="C26" t="s">
        <v>442</v>
      </c>
    </row>
    <row r="27" spans="1:3" x14ac:dyDescent="0.3">
      <c r="A27">
        <v>13</v>
      </c>
      <c r="B27" t="s">
        <v>459</v>
      </c>
      <c r="C27" t="s">
        <v>443</v>
      </c>
    </row>
    <row r="28" spans="1:3" x14ac:dyDescent="0.3">
      <c r="A28">
        <v>14</v>
      </c>
      <c r="B28" t="s">
        <v>460</v>
      </c>
      <c r="C28" t="s">
        <v>444</v>
      </c>
    </row>
    <row r="29" spans="1:3" x14ac:dyDescent="0.3">
      <c r="A29">
        <v>15</v>
      </c>
      <c r="B29" t="s">
        <v>461</v>
      </c>
      <c r="C29" t="s">
        <v>445</v>
      </c>
    </row>
  </sheetData>
  <mergeCells count="7">
    <mergeCell ref="A13:I13"/>
    <mergeCell ref="A9:I12"/>
    <mergeCell ref="A1:I1"/>
    <mergeCell ref="A2:I2"/>
    <mergeCell ref="A3:I3"/>
    <mergeCell ref="A4:I4"/>
    <mergeCell ref="A5:I8"/>
  </mergeCells>
  <pageMargins left="0.7" right="0.7" top="0.75" bottom="0.75" header="0.3" footer="0.3"/>
  <pageSetup orientation="portrait" horizontalDpi="1200" verticalDpi="12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CB6FA-2D05-F941-993F-9617C23E67A3}">
  <dimension ref="A1:J24"/>
  <sheetViews>
    <sheetView workbookViewId="0">
      <selection activeCell="B9" sqref="B9"/>
    </sheetView>
  </sheetViews>
  <sheetFormatPr defaultColWidth="11.19921875" defaultRowHeight="15.6" x14ac:dyDescent="0.3"/>
  <cols>
    <col min="1" max="1" width="23.796875" bestFit="1" customWidth="1"/>
    <col min="3" max="3" width="17.5" bestFit="1" customWidth="1"/>
    <col min="4" max="4" width="15.5" bestFit="1" customWidth="1"/>
    <col min="5" max="5" width="19.5" bestFit="1" customWidth="1"/>
    <col min="6" max="6" width="18.19921875" bestFit="1" customWidth="1"/>
    <col min="9" max="9" width="27.796875" bestFit="1" customWidth="1"/>
    <col min="10" max="10" width="13.296875" customWidth="1"/>
  </cols>
  <sheetData>
    <row r="1" spans="1:10" x14ac:dyDescent="0.3">
      <c r="A1" s="394" t="s">
        <v>63</v>
      </c>
      <c r="B1" s="394"/>
      <c r="C1" s="394"/>
      <c r="D1" s="394"/>
      <c r="E1" s="394"/>
      <c r="F1" s="393"/>
      <c r="G1" s="5"/>
      <c r="H1" s="8"/>
      <c r="I1" s="394" t="s">
        <v>91</v>
      </c>
      <c r="J1" s="393"/>
    </row>
    <row r="2" spans="1:10" x14ac:dyDescent="0.3">
      <c r="A2" s="9" t="s">
        <v>0</v>
      </c>
      <c r="B2" s="1" t="s">
        <v>5</v>
      </c>
      <c r="C2" s="1" t="s">
        <v>64</v>
      </c>
      <c r="D2" s="9" t="s">
        <v>16</v>
      </c>
      <c r="E2" s="55" t="s">
        <v>174</v>
      </c>
      <c r="F2" s="16" t="s">
        <v>175</v>
      </c>
      <c r="G2" s="15" t="s">
        <v>176</v>
      </c>
      <c r="H2" s="8"/>
      <c r="I2" t="s">
        <v>10</v>
      </c>
      <c r="J2" s="40">
        <f>'GDC Materials'!J3</f>
        <v>180</v>
      </c>
    </row>
    <row r="3" spans="1:10" x14ac:dyDescent="0.3">
      <c r="A3" s="8" t="s">
        <v>66</v>
      </c>
      <c r="B3" s="296">
        <v>1</v>
      </c>
      <c r="C3" s="298">
        <v>1200</v>
      </c>
      <c r="D3" s="13">
        <f>B3*C3</f>
        <v>1200</v>
      </c>
      <c r="E3" s="291">
        <v>10</v>
      </c>
      <c r="F3" s="57">
        <f>PMT($G$3,E3,-D3)</f>
        <v>155.405489958548</v>
      </c>
      <c r="G3" s="107">
        <f>'Insert Dimensions &amp; Rates'!C27</f>
        <v>0.05</v>
      </c>
      <c r="H3" s="8"/>
      <c r="I3" t="s">
        <v>9</v>
      </c>
      <c r="J3" s="8">
        <f>'GDC Materials'!J2</f>
        <v>25</v>
      </c>
    </row>
    <row r="4" spans="1:10" x14ac:dyDescent="0.3">
      <c r="A4" s="8" t="s">
        <v>413</v>
      </c>
      <c r="B4" s="296">
        <v>300</v>
      </c>
      <c r="C4" s="298">
        <v>0.18</v>
      </c>
      <c r="D4" s="13">
        <f t="shared" ref="D4:D18" si="0">B4*C4</f>
        <v>54</v>
      </c>
      <c r="E4" s="291">
        <v>30</v>
      </c>
      <c r="F4" s="58">
        <f t="shared" ref="F4:F18" si="1">PMT($G$3,E4,-D4)</f>
        <v>3.5127774943349355</v>
      </c>
      <c r="G4" s="3"/>
      <c r="H4" s="8"/>
      <c r="I4" t="s">
        <v>75</v>
      </c>
      <c r="J4" s="8">
        <f>'GDC Materials'!J4</f>
        <v>156</v>
      </c>
    </row>
    <row r="5" spans="1:10" x14ac:dyDescent="0.3">
      <c r="A5" s="8" t="s">
        <v>73</v>
      </c>
      <c r="B5" s="296">
        <v>1</v>
      </c>
      <c r="C5" s="298">
        <v>2.93</v>
      </c>
      <c r="D5" s="13">
        <f t="shared" si="0"/>
        <v>2.93</v>
      </c>
      <c r="E5" s="291">
        <v>8</v>
      </c>
      <c r="F5" s="58">
        <f t="shared" si="1"/>
        <v>0.45333491392910574</v>
      </c>
      <c r="G5" s="3"/>
      <c r="H5" s="8"/>
      <c r="I5" t="s">
        <v>13</v>
      </c>
      <c r="J5" s="8">
        <f>'Insert Dimensions &amp; Rates'!C14</f>
        <v>3</v>
      </c>
    </row>
    <row r="6" spans="1:10" x14ac:dyDescent="0.3">
      <c r="A6" s="8" t="s">
        <v>72</v>
      </c>
      <c r="B6" s="296">
        <v>1</v>
      </c>
      <c r="C6" s="298">
        <v>3.95</v>
      </c>
      <c r="D6" s="13">
        <f t="shared" si="0"/>
        <v>3.95</v>
      </c>
      <c r="E6" s="291">
        <v>8</v>
      </c>
      <c r="F6" s="58">
        <f t="shared" si="1"/>
        <v>0.61115116382934054</v>
      </c>
      <c r="G6" s="3"/>
      <c r="H6" s="8"/>
      <c r="I6" t="s">
        <v>76</v>
      </c>
      <c r="J6" s="8">
        <f>'Insert Dimensions &amp; Rates'!C15</f>
        <v>8</v>
      </c>
    </row>
    <row r="7" spans="1:10" x14ac:dyDescent="0.3">
      <c r="A7" s="8" t="s">
        <v>218</v>
      </c>
      <c r="B7" s="296">
        <v>1</v>
      </c>
      <c r="C7" s="298">
        <v>47.95</v>
      </c>
      <c r="D7" s="13">
        <f t="shared" si="0"/>
        <v>47.95</v>
      </c>
      <c r="E7" s="291">
        <v>10</v>
      </c>
      <c r="F7" s="58">
        <f t="shared" si="1"/>
        <v>6.209744369593647</v>
      </c>
      <c r="G7" s="3"/>
      <c r="H7" s="8"/>
      <c r="I7" t="s">
        <v>77</v>
      </c>
      <c r="J7" s="8">
        <f>'Insert Dimensions &amp; Rates'!C11</f>
        <v>8</v>
      </c>
    </row>
    <row r="8" spans="1:10" x14ac:dyDescent="0.3">
      <c r="A8" s="8" t="s">
        <v>217</v>
      </c>
      <c r="B8" s="296">
        <v>1</v>
      </c>
      <c r="C8" s="298">
        <v>14.95</v>
      </c>
      <c r="D8" s="13">
        <f t="shared" si="0"/>
        <v>14.95</v>
      </c>
      <c r="E8" s="291">
        <v>10</v>
      </c>
      <c r="F8" s="58">
        <f t="shared" si="1"/>
        <v>1.9360933957335771</v>
      </c>
      <c r="G8" s="3"/>
      <c r="H8" s="8"/>
      <c r="I8" t="s">
        <v>78</v>
      </c>
      <c r="J8" s="8">
        <f>J4</f>
        <v>156</v>
      </c>
    </row>
    <row r="9" spans="1:10" x14ac:dyDescent="0.3">
      <c r="A9" s="8" t="s">
        <v>65</v>
      </c>
      <c r="B9" s="296">
        <v>2</v>
      </c>
      <c r="C9" s="298">
        <v>11.75</v>
      </c>
      <c r="D9" s="13">
        <f t="shared" si="0"/>
        <v>23.5</v>
      </c>
      <c r="E9" s="291">
        <v>10</v>
      </c>
      <c r="F9" s="58">
        <f t="shared" si="1"/>
        <v>3.0433575116882317</v>
      </c>
      <c r="G9" s="3"/>
      <c r="H9" s="8"/>
      <c r="I9" s="2" t="s">
        <v>74</v>
      </c>
      <c r="J9" s="7">
        <f>'Insert Dimensions &amp; Rates'!C17</f>
        <v>62</v>
      </c>
    </row>
    <row r="10" spans="1:10" x14ac:dyDescent="0.3">
      <c r="A10" s="8" t="s">
        <v>71</v>
      </c>
      <c r="B10" s="297">
        <f>ROUNDUP(J9/50,0)</f>
        <v>2</v>
      </c>
      <c r="C10" s="298">
        <v>11.2</v>
      </c>
      <c r="D10" s="13">
        <f t="shared" si="0"/>
        <v>22.4</v>
      </c>
      <c r="E10" s="291">
        <v>10</v>
      </c>
      <c r="F10" s="58">
        <f t="shared" si="1"/>
        <v>2.9009024792262288</v>
      </c>
      <c r="G10" s="3"/>
      <c r="H10" s="3"/>
    </row>
    <row r="11" spans="1:10" x14ac:dyDescent="0.3">
      <c r="A11" s="8" t="s">
        <v>68</v>
      </c>
      <c r="B11" s="45">
        <f>J9</f>
        <v>62</v>
      </c>
      <c r="C11" s="298">
        <v>0.78</v>
      </c>
      <c r="D11" s="13">
        <f t="shared" si="0"/>
        <v>48.36</v>
      </c>
      <c r="E11" s="291">
        <v>10</v>
      </c>
      <c r="F11" s="58">
        <f t="shared" si="1"/>
        <v>6.2628412453294846</v>
      </c>
      <c r="G11" s="3"/>
      <c r="H11" s="3"/>
    </row>
    <row r="12" spans="1:10" x14ac:dyDescent="0.3">
      <c r="A12" s="8" t="s">
        <v>214</v>
      </c>
      <c r="B12" s="45">
        <f>(J7*J5)+25</f>
        <v>49</v>
      </c>
      <c r="C12" s="298">
        <f>24.39/100</f>
        <v>0.24390000000000001</v>
      </c>
      <c r="D12" s="13">
        <f t="shared" si="0"/>
        <v>11.9511</v>
      </c>
      <c r="E12" s="291">
        <v>5</v>
      </c>
      <c r="F12" s="58">
        <f t="shared" si="1"/>
        <v>2.760402909910745</v>
      </c>
      <c r="G12" s="3"/>
      <c r="H12" s="3"/>
    </row>
    <row r="13" spans="1:10" x14ac:dyDescent="0.3">
      <c r="A13" s="8" t="s">
        <v>215</v>
      </c>
      <c r="B13" s="45">
        <f>J8*J5</f>
        <v>468</v>
      </c>
      <c r="C13" s="298">
        <f>133.3/1000</f>
        <v>0.1333</v>
      </c>
      <c r="D13" s="13">
        <f t="shared" si="0"/>
        <v>62.384399999999999</v>
      </c>
      <c r="E13" s="291">
        <v>2</v>
      </c>
      <c r="F13" s="58">
        <f t="shared" si="1"/>
        <v>33.550634634146341</v>
      </c>
      <c r="G13" s="3"/>
      <c r="H13" s="3"/>
    </row>
    <row r="14" spans="1:10" x14ac:dyDescent="0.3">
      <c r="A14" s="8" t="s">
        <v>192</v>
      </c>
      <c r="B14" s="45">
        <f>(B15)+(B17*3)+(B18*2)</f>
        <v>13</v>
      </c>
      <c r="C14" s="298">
        <f>8.74/10</f>
        <v>0.874</v>
      </c>
      <c r="D14" s="13">
        <f t="shared" si="0"/>
        <v>11.362</v>
      </c>
      <c r="E14" s="291">
        <v>30</v>
      </c>
      <c r="F14" s="58">
        <f t="shared" si="1"/>
        <v>0.73911440538210249</v>
      </c>
      <c r="G14" s="3"/>
      <c r="H14" s="3"/>
    </row>
    <row r="15" spans="1:10" x14ac:dyDescent="0.3">
      <c r="A15" s="8" t="s">
        <v>216</v>
      </c>
      <c r="B15" s="45">
        <f>J5</f>
        <v>3</v>
      </c>
      <c r="C15" s="298">
        <v>1.65</v>
      </c>
      <c r="D15" s="13">
        <f t="shared" si="0"/>
        <v>4.9499999999999993</v>
      </c>
      <c r="E15" s="291">
        <v>10</v>
      </c>
      <c r="F15" s="58">
        <f t="shared" si="1"/>
        <v>0.64104764607901044</v>
      </c>
      <c r="G15" s="3"/>
      <c r="H15" s="3"/>
    </row>
    <row r="16" spans="1:10" x14ac:dyDescent="0.3">
      <c r="A16" s="8" t="s">
        <v>67</v>
      </c>
      <c r="B16" s="296">
        <v>1</v>
      </c>
      <c r="C16" s="298">
        <v>3.99</v>
      </c>
      <c r="D16" s="13">
        <f t="shared" si="0"/>
        <v>3.99</v>
      </c>
      <c r="E16" s="291">
        <v>30</v>
      </c>
      <c r="F16" s="58">
        <f t="shared" si="1"/>
        <v>0.25955522597030356</v>
      </c>
      <c r="G16" s="3"/>
      <c r="H16" s="3"/>
    </row>
    <row r="17" spans="1:6" x14ac:dyDescent="0.3">
      <c r="A17" s="8" t="s">
        <v>69</v>
      </c>
      <c r="B17" s="45">
        <f>J5-1</f>
        <v>2</v>
      </c>
      <c r="C17" s="298">
        <v>2.4</v>
      </c>
      <c r="D17" s="13">
        <f t="shared" si="0"/>
        <v>4.8</v>
      </c>
      <c r="E17" s="291">
        <v>10</v>
      </c>
      <c r="F17" s="58">
        <f t="shared" si="1"/>
        <v>0.62162195983419199</v>
      </c>
    </row>
    <row r="18" spans="1:6" x14ac:dyDescent="0.3">
      <c r="A18" s="7" t="s">
        <v>70</v>
      </c>
      <c r="B18" s="66">
        <f>J5-1</f>
        <v>2</v>
      </c>
      <c r="C18" s="288">
        <v>1.95</v>
      </c>
      <c r="D18" s="28">
        <f t="shared" si="0"/>
        <v>3.9</v>
      </c>
      <c r="E18" s="299">
        <v>10</v>
      </c>
      <c r="F18" s="59">
        <f t="shared" si="1"/>
        <v>0.50506784236528091</v>
      </c>
    </row>
    <row r="19" spans="1:6" ht="16.2" thickBot="1" x14ac:dyDescent="0.35">
      <c r="B19" s="18"/>
      <c r="C19" s="41" t="s">
        <v>15</v>
      </c>
      <c r="D19" s="42">
        <f>SUM(D3:D18)</f>
        <v>1521.3775000000003</v>
      </c>
      <c r="E19" s="53" t="s">
        <v>182</v>
      </c>
      <c r="F19" s="42">
        <f>SUM(F3:F18)</f>
        <v>219.41313715590053</v>
      </c>
    </row>
    <row r="20" spans="1:6" ht="16.2" thickTop="1" x14ac:dyDescent="0.3"/>
    <row r="24" spans="1:6" x14ac:dyDescent="0.3">
      <c r="D24" s="56"/>
    </row>
  </sheetData>
  <mergeCells count="2">
    <mergeCell ref="I1:J1"/>
    <mergeCell ref="A1:F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6FB03-FDB6-FF47-9E72-209E6036460C}">
  <dimension ref="A1:I21"/>
  <sheetViews>
    <sheetView workbookViewId="0">
      <selection activeCell="B3" sqref="B3:B16"/>
    </sheetView>
  </sheetViews>
  <sheetFormatPr defaultColWidth="11.19921875" defaultRowHeight="15.6" x14ac:dyDescent="0.3"/>
  <cols>
    <col min="1" max="1" width="33.69921875" bestFit="1" customWidth="1"/>
    <col min="3" max="3" width="15.19921875" bestFit="1" customWidth="1"/>
    <col min="9" max="9" width="17.296875" customWidth="1"/>
  </cols>
  <sheetData>
    <row r="1" spans="1:9" x14ac:dyDescent="0.3">
      <c r="A1" s="394" t="s">
        <v>191</v>
      </c>
      <c r="B1" s="394"/>
      <c r="C1" s="394"/>
      <c r="D1" s="394"/>
      <c r="E1" s="393"/>
      <c r="F1" s="74"/>
      <c r="G1" s="75"/>
      <c r="H1" s="392" t="s">
        <v>91</v>
      </c>
      <c r="I1" s="393"/>
    </row>
    <row r="2" spans="1:9" x14ac:dyDescent="0.3">
      <c r="A2" s="11" t="s">
        <v>31</v>
      </c>
      <c r="B2" s="10" t="s">
        <v>32</v>
      </c>
      <c r="C2" s="10" t="s">
        <v>34</v>
      </c>
      <c r="D2" s="403" t="s">
        <v>79</v>
      </c>
      <c r="E2" s="384"/>
      <c r="H2" s="5" t="s">
        <v>10</v>
      </c>
      <c r="I2" s="40">
        <f>'GDC Materials'!J3</f>
        <v>180</v>
      </c>
    </row>
    <row r="3" spans="1:9" x14ac:dyDescent="0.3">
      <c r="A3" s="8" t="s">
        <v>200</v>
      </c>
      <c r="B3" s="291">
        <v>45</v>
      </c>
      <c r="C3" t="s">
        <v>194</v>
      </c>
      <c r="D3" s="33">
        <f>B3*'Irrigation Materials'!B3</f>
        <v>45</v>
      </c>
      <c r="E3" s="8" t="s">
        <v>32</v>
      </c>
      <c r="H3" s="6" t="s">
        <v>9</v>
      </c>
      <c r="I3" s="7">
        <f>'GDC Materials'!J2</f>
        <v>25</v>
      </c>
    </row>
    <row r="4" spans="1:9" x14ac:dyDescent="0.3">
      <c r="A4" s="8" t="s">
        <v>219</v>
      </c>
      <c r="B4" s="291">
        <v>15</v>
      </c>
      <c r="C4" t="s">
        <v>220</v>
      </c>
      <c r="D4" s="33">
        <f>B4*'Irrigation Materials'!B7</f>
        <v>15</v>
      </c>
      <c r="E4" s="8" t="s">
        <v>32</v>
      </c>
    </row>
    <row r="5" spans="1:9" x14ac:dyDescent="0.3">
      <c r="A5" s="8" t="s">
        <v>195</v>
      </c>
      <c r="B5" s="296">
        <v>5</v>
      </c>
      <c r="C5" t="s">
        <v>204</v>
      </c>
      <c r="D5" s="33">
        <f>B5*'Irrigation Materials'!B5</f>
        <v>5</v>
      </c>
      <c r="E5" s="8" t="s">
        <v>32</v>
      </c>
    </row>
    <row r="6" spans="1:9" x14ac:dyDescent="0.3">
      <c r="A6" s="8" t="s">
        <v>196</v>
      </c>
      <c r="B6" s="296">
        <v>5</v>
      </c>
      <c r="C6" t="s">
        <v>204</v>
      </c>
      <c r="D6" s="33">
        <f>B6*'Irrigation Materials'!B6</f>
        <v>5</v>
      </c>
      <c r="E6" s="8" t="s">
        <v>32</v>
      </c>
    </row>
    <row r="7" spans="1:9" x14ac:dyDescent="0.3">
      <c r="A7" s="8" t="s">
        <v>197</v>
      </c>
      <c r="B7" s="296">
        <v>5</v>
      </c>
      <c r="C7" t="s">
        <v>205</v>
      </c>
      <c r="D7" s="33">
        <f>B7*'Irrigation Materials'!B10</f>
        <v>10</v>
      </c>
      <c r="E7" s="8" t="s">
        <v>32</v>
      </c>
    </row>
    <row r="8" spans="1:9" x14ac:dyDescent="0.3">
      <c r="A8" s="8" t="s">
        <v>198</v>
      </c>
      <c r="B8" s="296">
        <v>5</v>
      </c>
      <c r="C8" t="s">
        <v>206</v>
      </c>
      <c r="D8" s="33">
        <f>B8*'Irrigation Materials'!B9</f>
        <v>10</v>
      </c>
      <c r="E8" s="8" t="s">
        <v>32</v>
      </c>
    </row>
    <row r="9" spans="1:9" x14ac:dyDescent="0.3">
      <c r="A9" s="8" t="s">
        <v>199</v>
      </c>
      <c r="B9" s="296">
        <v>5</v>
      </c>
      <c r="C9" t="s">
        <v>207</v>
      </c>
      <c r="D9" s="33">
        <f>B9*'Irrigation Materials'!B8</f>
        <v>5</v>
      </c>
      <c r="E9" s="8" t="s">
        <v>32</v>
      </c>
    </row>
    <row r="10" spans="1:9" x14ac:dyDescent="0.3">
      <c r="A10" s="8" t="s">
        <v>221</v>
      </c>
      <c r="B10" s="292">
        <v>0.5</v>
      </c>
      <c r="C10" t="s">
        <v>54</v>
      </c>
      <c r="D10" s="33">
        <f>B10*'Irrigation Materials'!B12</f>
        <v>24.5</v>
      </c>
      <c r="E10" s="8" t="s">
        <v>32</v>
      </c>
    </row>
    <row r="11" spans="1:9" x14ac:dyDescent="0.3">
      <c r="A11" s="8" t="s">
        <v>222</v>
      </c>
      <c r="B11" s="292">
        <v>7.0000000000000007E-2</v>
      </c>
      <c r="C11" t="s">
        <v>54</v>
      </c>
      <c r="D11" s="33">
        <f>B11*'Irrigation Materials'!B13</f>
        <v>32.760000000000005</v>
      </c>
      <c r="E11" s="8" t="s">
        <v>32</v>
      </c>
    </row>
    <row r="12" spans="1:9" x14ac:dyDescent="0.3">
      <c r="A12" s="8" t="s">
        <v>212</v>
      </c>
      <c r="B12" s="296">
        <v>3</v>
      </c>
      <c r="C12" t="s">
        <v>208</v>
      </c>
      <c r="D12" s="33">
        <f>B12*'Irrigation Materials'!B17</f>
        <v>6</v>
      </c>
      <c r="E12" s="8" t="s">
        <v>32</v>
      </c>
    </row>
    <row r="13" spans="1:9" x14ac:dyDescent="0.3">
      <c r="A13" s="8" t="s">
        <v>213</v>
      </c>
      <c r="B13" s="296">
        <v>3</v>
      </c>
      <c r="C13" t="s">
        <v>208</v>
      </c>
      <c r="D13" s="33">
        <f>B13*'Irrigation Materials'!B18</f>
        <v>6</v>
      </c>
      <c r="E13" s="8" t="s">
        <v>32</v>
      </c>
    </row>
    <row r="14" spans="1:9" x14ac:dyDescent="0.3">
      <c r="A14" s="8" t="s">
        <v>201</v>
      </c>
      <c r="B14" s="296">
        <v>3</v>
      </c>
      <c r="C14" t="s">
        <v>209</v>
      </c>
      <c r="D14" s="33">
        <f>B14*'Irrigation Materials'!B11</f>
        <v>186</v>
      </c>
      <c r="E14" s="8" t="s">
        <v>32</v>
      </c>
    </row>
    <row r="15" spans="1:9" x14ac:dyDescent="0.3">
      <c r="A15" s="8" t="s">
        <v>203</v>
      </c>
      <c r="B15" s="292">
        <v>2</v>
      </c>
      <c r="C15" t="s">
        <v>210</v>
      </c>
      <c r="D15" s="33">
        <f>B15*'Irrigation Materials'!B15</f>
        <v>6</v>
      </c>
      <c r="E15" s="8" t="s">
        <v>32</v>
      </c>
    </row>
    <row r="16" spans="1:9" x14ac:dyDescent="0.3">
      <c r="A16" s="7" t="s">
        <v>202</v>
      </c>
      <c r="B16" s="303">
        <v>0.5</v>
      </c>
      <c r="C16" s="2" t="s">
        <v>211</v>
      </c>
      <c r="D16" s="66">
        <f>B16*'Irrigation Materials'!B14</f>
        <v>6.5</v>
      </c>
      <c r="E16" s="7" t="s">
        <v>32</v>
      </c>
    </row>
    <row r="17" spans="3:7" x14ac:dyDescent="0.3">
      <c r="C17" s="69" t="s">
        <v>35</v>
      </c>
      <c r="D17" s="268">
        <f>ROUNDUP(SUM(D3:D16)/60,0)</f>
        <v>7</v>
      </c>
      <c r="E17" s="68" t="s">
        <v>33</v>
      </c>
      <c r="F17" s="404" t="s">
        <v>228</v>
      </c>
      <c r="G17" s="405"/>
    </row>
    <row r="18" spans="3:7" x14ac:dyDescent="0.3">
      <c r="C18" s="70" t="s">
        <v>227</v>
      </c>
      <c r="D18" s="72">
        <f>'GDC Labor'!D21</f>
        <v>2</v>
      </c>
      <c r="E18" s="78"/>
    </row>
    <row r="19" spans="3:7" x14ac:dyDescent="0.3">
      <c r="C19" s="71" t="s">
        <v>229</v>
      </c>
      <c r="D19" s="82">
        <f>'Insert Dimensions &amp; Rates'!C25</f>
        <v>10</v>
      </c>
      <c r="E19" s="83"/>
    </row>
    <row r="20" spans="3:7" ht="16.2" thickBot="1" x14ac:dyDescent="0.35">
      <c r="C20" s="93" t="s">
        <v>230</v>
      </c>
      <c r="D20" s="95">
        <f>D19*D18*D17</f>
        <v>140</v>
      </c>
      <c r="E20" s="81"/>
    </row>
    <row r="21" spans="3:7" ht="16.2" thickTop="1" x14ac:dyDescent="0.3"/>
  </sheetData>
  <mergeCells count="4">
    <mergeCell ref="D2:E2"/>
    <mergeCell ref="A1:E1"/>
    <mergeCell ref="H1:I1"/>
    <mergeCell ref="F17:G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FD693-7E9C-5744-A30E-D27D26D75C52}">
  <dimension ref="A1:M34"/>
  <sheetViews>
    <sheetView topLeftCell="C13" workbookViewId="0">
      <selection activeCell="F3" sqref="F3"/>
    </sheetView>
  </sheetViews>
  <sheetFormatPr defaultColWidth="11.19921875" defaultRowHeight="15.6" x14ac:dyDescent="0.3"/>
  <cols>
    <col min="1" max="1" width="37.796875" bestFit="1" customWidth="1"/>
    <col min="2" max="2" width="18.796875" customWidth="1"/>
    <col min="4" max="4" width="18.296875" customWidth="1"/>
    <col min="5" max="5" width="23.296875" customWidth="1"/>
    <col min="6" max="6" width="22.19921875" customWidth="1"/>
    <col min="7" max="7" width="15.5" bestFit="1" customWidth="1"/>
    <col min="8" max="8" width="19.5" bestFit="1" customWidth="1"/>
    <col min="9" max="9" width="18.19921875" bestFit="1" customWidth="1"/>
    <col min="10" max="10" width="12.296875" bestFit="1" customWidth="1"/>
    <col min="11" max="11" width="11.796875" bestFit="1" customWidth="1"/>
    <col min="12" max="12" width="32.796875" bestFit="1" customWidth="1"/>
  </cols>
  <sheetData>
    <row r="1" spans="1:13" x14ac:dyDescent="0.3">
      <c r="A1" s="394" t="s">
        <v>429</v>
      </c>
      <c r="B1" s="394"/>
      <c r="C1" s="394"/>
      <c r="D1" s="394"/>
      <c r="E1" s="394"/>
      <c r="F1" s="394"/>
      <c r="G1" s="394"/>
      <c r="H1" s="394"/>
      <c r="I1" s="393"/>
      <c r="J1" s="44"/>
      <c r="K1" s="44"/>
      <c r="L1" s="392" t="s">
        <v>91</v>
      </c>
      <c r="M1" s="393"/>
    </row>
    <row r="2" spans="1:13" x14ac:dyDescent="0.3">
      <c r="A2" s="60" t="s">
        <v>0</v>
      </c>
      <c r="B2" s="61" t="s">
        <v>81</v>
      </c>
      <c r="C2" s="62" t="s">
        <v>5</v>
      </c>
      <c r="D2" s="62" t="s">
        <v>96</v>
      </c>
      <c r="E2" s="62" t="s">
        <v>136</v>
      </c>
      <c r="F2" s="62" t="s">
        <v>137</v>
      </c>
      <c r="G2" s="63" t="s">
        <v>16</v>
      </c>
      <c r="H2" s="55" t="s">
        <v>174</v>
      </c>
      <c r="I2" s="16" t="s">
        <v>175</v>
      </c>
      <c r="J2" s="15" t="s">
        <v>223</v>
      </c>
      <c r="K2" s="15" t="s">
        <v>176</v>
      </c>
      <c r="L2" s="5" t="s">
        <v>9</v>
      </c>
      <c r="M2" s="8">
        <f>'GDC Materials'!J2</f>
        <v>25</v>
      </c>
    </row>
    <row r="3" spans="1:13" x14ac:dyDescent="0.3">
      <c r="A3" s="8" t="s">
        <v>84</v>
      </c>
      <c r="B3" t="s">
        <v>82</v>
      </c>
      <c r="C3" s="45">
        <f>ROUNDUP(M7*2,0)</f>
        <v>62</v>
      </c>
      <c r="D3" t="s">
        <v>97</v>
      </c>
      <c r="E3" s="26">
        <v>5.25</v>
      </c>
      <c r="F3" s="298">
        <f>E3*(1+J3)</f>
        <v>6.3083999999999998</v>
      </c>
      <c r="G3" s="13">
        <f>F3*C3</f>
        <v>391.12079999999997</v>
      </c>
      <c r="H3" s="291">
        <v>20</v>
      </c>
      <c r="I3" s="57">
        <f>PMT($K$3,H3,-G3)</f>
        <v>31.38454489609294</v>
      </c>
      <c r="J3" s="65">
        <f>'Insert Dimensions &amp; Rates'!C26</f>
        <v>0.2016</v>
      </c>
      <c r="K3" s="92">
        <f>'Insert Dimensions &amp; Rates'!C27</f>
        <v>0.05</v>
      </c>
      <c r="L3" s="38" t="s">
        <v>10</v>
      </c>
      <c r="M3" s="40">
        <f>'GDC Materials'!J3</f>
        <v>180</v>
      </c>
    </row>
    <row r="4" spans="1:13" x14ac:dyDescent="0.3">
      <c r="A4" s="8" t="s">
        <v>85</v>
      </c>
      <c r="B4" t="s">
        <v>83</v>
      </c>
      <c r="C4" s="45">
        <f>ROUNDUP((M7*M6)-C5,0)</f>
        <v>1156</v>
      </c>
      <c r="D4" s="29" t="s">
        <v>98</v>
      </c>
      <c r="E4" s="26">
        <f>12.5/11</f>
        <v>1.1363636363636365</v>
      </c>
      <c r="F4" s="298">
        <f>E4*(1+$J$3)</f>
        <v>1.3654545454545455</v>
      </c>
      <c r="G4" s="13">
        <f t="shared" ref="G4:G32" si="0">F4*C4</f>
        <v>1578.4654545454546</v>
      </c>
      <c r="H4" s="291">
        <v>20</v>
      </c>
      <c r="I4" s="58">
        <f>PMT($K$3,H4,-G4)</f>
        <v>126.66015186385783</v>
      </c>
      <c r="L4" s="5" t="s">
        <v>11</v>
      </c>
      <c r="M4" s="8">
        <f>'GDC Materials'!J4</f>
        <v>156</v>
      </c>
    </row>
    <row r="5" spans="1:13" x14ac:dyDescent="0.3">
      <c r="A5" s="8" t="s">
        <v>225</v>
      </c>
      <c r="B5" t="s">
        <v>87</v>
      </c>
      <c r="C5" s="45">
        <f>ROUNDUP((2/3)*3*M7,0)</f>
        <v>62</v>
      </c>
      <c r="D5" s="29" t="s">
        <v>98</v>
      </c>
      <c r="E5" s="26">
        <f>17/21</f>
        <v>0.80952380952380953</v>
      </c>
      <c r="F5" s="298">
        <f t="shared" ref="F5:F13" si="1">E5*(1+$J$3)</f>
        <v>0.97272380952380955</v>
      </c>
      <c r="G5" s="13">
        <f t="shared" si="0"/>
        <v>60.308876190476191</v>
      </c>
      <c r="H5" s="291">
        <v>20</v>
      </c>
      <c r="I5" s="58">
        <f t="shared" ref="I5:I32" si="2">PMT($K$3,H5,-G5)</f>
        <v>4.839340256086893</v>
      </c>
      <c r="L5" s="38" t="s">
        <v>92</v>
      </c>
      <c r="M5" s="8">
        <f>'Insert Dimensions &amp; Rates'!C16</f>
        <v>6</v>
      </c>
    </row>
    <row r="6" spans="1:13" x14ac:dyDescent="0.3">
      <c r="A6" s="8" t="s">
        <v>86</v>
      </c>
      <c r="B6" t="s">
        <v>87</v>
      </c>
      <c r="C6" s="45">
        <f>M3*3</f>
        <v>540</v>
      </c>
      <c r="D6" t="s">
        <v>98</v>
      </c>
      <c r="E6" s="26">
        <f t="shared" ref="E6:E7" si="3">17/21</f>
        <v>0.80952380952380953</v>
      </c>
      <c r="F6" s="298">
        <f t="shared" si="1"/>
        <v>0.97272380952380955</v>
      </c>
      <c r="G6" s="13">
        <f t="shared" si="0"/>
        <v>525.27085714285715</v>
      </c>
      <c r="H6" s="291">
        <v>20</v>
      </c>
      <c r="I6" s="58">
        <f t="shared" si="2"/>
        <v>42.149092553014874</v>
      </c>
      <c r="L6" s="38" t="s">
        <v>93</v>
      </c>
      <c r="M6" s="46">
        <f>(3.141596*M2)/2</f>
        <v>39.269949999999994</v>
      </c>
    </row>
    <row r="7" spans="1:13" x14ac:dyDescent="0.3">
      <c r="A7" s="8" t="s">
        <v>89</v>
      </c>
      <c r="B7" t="s">
        <v>87</v>
      </c>
      <c r="C7" s="45">
        <f>M3*2</f>
        <v>360</v>
      </c>
      <c r="D7" t="s">
        <v>98</v>
      </c>
      <c r="E7" s="26">
        <f t="shared" si="3"/>
        <v>0.80952380952380953</v>
      </c>
      <c r="F7" s="298">
        <f t="shared" si="1"/>
        <v>0.97272380952380955</v>
      </c>
      <c r="G7" s="13">
        <f t="shared" si="0"/>
        <v>350.18057142857145</v>
      </c>
      <c r="H7" s="291">
        <v>20</v>
      </c>
      <c r="I7" s="58">
        <f t="shared" si="2"/>
        <v>28.099395035343253</v>
      </c>
      <c r="L7" s="38" t="s">
        <v>94</v>
      </c>
      <c r="M7" s="46">
        <f>M3/M5+1</f>
        <v>31</v>
      </c>
    </row>
    <row r="8" spans="1:13" x14ac:dyDescent="0.3">
      <c r="A8" s="8" t="s">
        <v>88</v>
      </c>
      <c r="B8" t="s">
        <v>95</v>
      </c>
      <c r="C8" s="45">
        <v>4</v>
      </c>
      <c r="D8" t="s">
        <v>97</v>
      </c>
      <c r="E8" s="26">
        <v>17</v>
      </c>
      <c r="F8" s="298">
        <f t="shared" si="1"/>
        <v>20.427199999999999</v>
      </c>
      <c r="G8" s="13">
        <f t="shared" si="0"/>
        <v>81.708799999999997</v>
      </c>
      <c r="H8" s="291">
        <v>20</v>
      </c>
      <c r="I8" s="58">
        <f t="shared" si="2"/>
        <v>6.5565255082467573</v>
      </c>
      <c r="L8" s="38" t="s">
        <v>121</v>
      </c>
      <c r="M8" s="8">
        <v>21</v>
      </c>
    </row>
    <row r="9" spans="1:13" x14ac:dyDescent="0.3">
      <c r="A9" s="8" t="s">
        <v>90</v>
      </c>
      <c r="B9" t="s">
        <v>87</v>
      </c>
      <c r="C9" s="45">
        <f>(M2-8)*2</f>
        <v>34</v>
      </c>
      <c r="D9" t="s">
        <v>98</v>
      </c>
      <c r="E9" s="26">
        <f>E8/21</f>
        <v>0.80952380952380953</v>
      </c>
      <c r="F9" s="298">
        <f t="shared" si="1"/>
        <v>0.97272380952380955</v>
      </c>
      <c r="G9" s="13">
        <f t="shared" si="0"/>
        <v>33.072609523809525</v>
      </c>
      <c r="H9" s="291">
        <v>20</v>
      </c>
      <c r="I9" s="58">
        <f t="shared" si="2"/>
        <v>2.6538317533379736</v>
      </c>
      <c r="L9" s="38" t="s">
        <v>116</v>
      </c>
      <c r="M9" s="8">
        <f>3</f>
        <v>3</v>
      </c>
    </row>
    <row r="10" spans="1:13" x14ac:dyDescent="0.3">
      <c r="A10" s="8" t="s">
        <v>99</v>
      </c>
      <c r="C10" s="45">
        <f>C3</f>
        <v>62</v>
      </c>
      <c r="D10" t="s">
        <v>97</v>
      </c>
      <c r="E10" s="26">
        <v>0.15</v>
      </c>
      <c r="F10" s="298">
        <f t="shared" si="1"/>
        <v>0.18023999999999998</v>
      </c>
      <c r="G10" s="13">
        <f t="shared" si="0"/>
        <v>11.174879999999998</v>
      </c>
      <c r="H10" s="291">
        <v>30</v>
      </c>
      <c r="I10" s="58">
        <f t="shared" si="2"/>
        <v>0.72694198084988104</v>
      </c>
      <c r="L10" s="38" t="s">
        <v>117</v>
      </c>
      <c r="M10" s="46">
        <f>C6/M8/M9</f>
        <v>8.5714285714285712</v>
      </c>
    </row>
    <row r="11" spans="1:13" x14ac:dyDescent="0.3">
      <c r="A11" s="8" t="s">
        <v>100</v>
      </c>
      <c r="C11" s="45">
        <f>C3</f>
        <v>62</v>
      </c>
      <c r="D11" t="s">
        <v>97</v>
      </c>
      <c r="E11" s="26">
        <v>0.1</v>
      </c>
      <c r="F11" s="298">
        <f t="shared" si="1"/>
        <v>0.12016</v>
      </c>
      <c r="G11" s="13">
        <f t="shared" si="0"/>
        <v>7.4499200000000005</v>
      </c>
      <c r="H11" s="291">
        <v>30</v>
      </c>
      <c r="I11" s="58">
        <f t="shared" si="2"/>
        <v>0.48462798723325418</v>
      </c>
      <c r="L11" s="38" t="s">
        <v>118</v>
      </c>
      <c r="M11" s="8">
        <v>2</v>
      </c>
    </row>
    <row r="12" spans="1:13" x14ac:dyDescent="0.3">
      <c r="A12" s="8" t="s">
        <v>101</v>
      </c>
      <c r="B12" t="s">
        <v>102</v>
      </c>
      <c r="C12" s="45">
        <v>1</v>
      </c>
      <c r="D12" t="s">
        <v>34</v>
      </c>
      <c r="E12" s="26">
        <v>13.95</v>
      </c>
      <c r="F12" s="298">
        <f t="shared" si="1"/>
        <v>16.762319999999999</v>
      </c>
      <c r="G12" s="13">
        <f t="shared" si="0"/>
        <v>16.762319999999999</v>
      </c>
      <c r="H12" s="291">
        <v>30</v>
      </c>
      <c r="I12" s="58">
        <f t="shared" si="2"/>
        <v>1.0904129712748218</v>
      </c>
      <c r="L12" s="38" t="s">
        <v>119</v>
      </c>
      <c r="M12" s="46">
        <f>C7/M13/M11</f>
        <v>8.5714285714285712</v>
      </c>
    </row>
    <row r="13" spans="1:13" x14ac:dyDescent="0.3">
      <c r="A13" s="8" t="s">
        <v>103</v>
      </c>
      <c r="C13" s="45">
        <f>ROUNDUP((12*M7)+(M10*2*3)+(5*C3)+(4*4)+(M12*2*2),0)</f>
        <v>784</v>
      </c>
      <c r="D13" t="s">
        <v>97</v>
      </c>
      <c r="E13" s="26">
        <v>0.05</v>
      </c>
      <c r="F13" s="298">
        <f t="shared" si="1"/>
        <v>6.0080000000000001E-2</v>
      </c>
      <c r="G13" s="13">
        <f t="shared" si="0"/>
        <v>47.102719999999998</v>
      </c>
      <c r="H13" s="291">
        <v>30</v>
      </c>
      <c r="I13" s="58">
        <f t="shared" si="2"/>
        <v>3.0640995321844451</v>
      </c>
      <c r="L13" s="38" t="s">
        <v>120</v>
      </c>
      <c r="M13" s="8">
        <v>21</v>
      </c>
    </row>
    <row r="14" spans="1:13" x14ac:dyDescent="0.3">
      <c r="A14" s="8" t="s">
        <v>185</v>
      </c>
      <c r="C14" s="45">
        <f>ROUNDUP(C28*4,0)</f>
        <v>240</v>
      </c>
      <c r="D14" t="s">
        <v>97</v>
      </c>
      <c r="E14" s="26" t="s">
        <v>141</v>
      </c>
      <c r="F14" s="298">
        <f>9.47/64</f>
        <v>0.14796875000000001</v>
      </c>
      <c r="G14" s="13">
        <f t="shared" si="0"/>
        <v>35.512500000000003</v>
      </c>
      <c r="H14" s="291">
        <v>30</v>
      </c>
      <c r="I14" s="58">
        <f t="shared" si="2"/>
        <v>2.3101390882883224</v>
      </c>
      <c r="L14" s="47" t="s">
        <v>140</v>
      </c>
      <c r="M14" s="48">
        <f>M3+50</f>
        <v>230</v>
      </c>
    </row>
    <row r="15" spans="1:13" x14ac:dyDescent="0.3">
      <c r="A15" s="8" t="s">
        <v>104</v>
      </c>
      <c r="C15" s="45">
        <f>3*M7</f>
        <v>93</v>
      </c>
      <c r="D15" t="s">
        <v>97</v>
      </c>
      <c r="E15" s="26">
        <v>2.17</v>
      </c>
      <c r="F15" s="298">
        <f>E15*(1+$J$3)</f>
        <v>2.607472</v>
      </c>
      <c r="G15" s="13">
        <f t="shared" si="0"/>
        <v>242.49489600000001</v>
      </c>
      <c r="H15" s="291">
        <v>20</v>
      </c>
      <c r="I15" s="58">
        <f t="shared" si="2"/>
        <v>19.458417835577624</v>
      </c>
      <c r="L15" s="19"/>
      <c r="M15" s="35"/>
    </row>
    <row r="16" spans="1:13" x14ac:dyDescent="0.3">
      <c r="A16" s="8" t="s">
        <v>226</v>
      </c>
      <c r="B16" t="s">
        <v>129</v>
      </c>
      <c r="C16" s="45">
        <f>(M3/8*2)+(5*2)</f>
        <v>55</v>
      </c>
      <c r="D16" t="s">
        <v>97</v>
      </c>
      <c r="E16" s="26">
        <v>5.54</v>
      </c>
      <c r="F16" s="298">
        <f>E16*(1+$J$3)</f>
        <v>6.6568639999999997</v>
      </c>
      <c r="G16" s="13">
        <f t="shared" si="0"/>
        <v>366.12752</v>
      </c>
      <c r="H16" s="291">
        <v>20</v>
      </c>
      <c r="I16" s="58">
        <f t="shared" si="2"/>
        <v>29.379019446511577</v>
      </c>
      <c r="L16" s="49"/>
      <c r="M16" s="67"/>
    </row>
    <row r="17" spans="1:13" x14ac:dyDescent="0.3">
      <c r="A17" s="8" t="s">
        <v>105</v>
      </c>
      <c r="B17" t="s">
        <v>130</v>
      </c>
      <c r="C17" s="45">
        <f>C16*2</f>
        <v>110</v>
      </c>
      <c r="D17" t="s">
        <v>97</v>
      </c>
      <c r="E17" s="26">
        <v>1.23</v>
      </c>
      <c r="F17" s="298">
        <f>E17*(1+$J$3)</f>
        <v>1.4779679999999999</v>
      </c>
      <c r="G17" s="13">
        <f t="shared" si="0"/>
        <v>162.57648</v>
      </c>
      <c r="H17" s="291">
        <v>5</v>
      </c>
      <c r="I17" s="58">
        <f t="shared" si="2"/>
        <v>37.551069648404415</v>
      </c>
    </row>
    <row r="18" spans="1:13" x14ac:dyDescent="0.3">
      <c r="A18" s="8" t="s">
        <v>106</v>
      </c>
      <c r="B18" t="s">
        <v>135</v>
      </c>
      <c r="C18" s="45">
        <v>1</v>
      </c>
      <c r="D18" t="s">
        <v>98</v>
      </c>
      <c r="E18" s="26" t="s">
        <v>141</v>
      </c>
      <c r="F18" s="298">
        <f>(452.75/150)</f>
        <v>3.0183333333333335</v>
      </c>
      <c r="G18" s="13">
        <f>F18*M14</f>
        <v>694.2166666666667</v>
      </c>
      <c r="H18" s="291">
        <v>3</v>
      </c>
      <c r="I18" s="58">
        <f t="shared" si="2"/>
        <v>254.92230570975417</v>
      </c>
    </row>
    <row r="19" spans="1:13" x14ac:dyDescent="0.3">
      <c r="A19" s="8" t="s">
        <v>107</v>
      </c>
      <c r="B19" t="s">
        <v>109</v>
      </c>
      <c r="C19" s="45">
        <f>C3</f>
        <v>62</v>
      </c>
      <c r="D19" t="s">
        <v>97</v>
      </c>
      <c r="E19" s="26">
        <v>0.46</v>
      </c>
      <c r="F19" s="298">
        <f>E19*(1+$J$3)</f>
        <v>0.55273600000000001</v>
      </c>
      <c r="G19" s="13">
        <f t="shared" si="0"/>
        <v>34.269632000000001</v>
      </c>
      <c r="H19" s="291">
        <v>30</v>
      </c>
      <c r="I19" s="58">
        <f t="shared" si="2"/>
        <v>2.2292887412729692</v>
      </c>
    </row>
    <row r="20" spans="1:13" x14ac:dyDescent="0.3">
      <c r="A20" s="8" t="s">
        <v>107</v>
      </c>
      <c r="B20" t="s">
        <v>110</v>
      </c>
      <c r="C20" s="45">
        <f>C3</f>
        <v>62</v>
      </c>
      <c r="D20" t="s">
        <v>97</v>
      </c>
      <c r="E20" s="26">
        <v>0.46</v>
      </c>
      <c r="F20" s="298">
        <f t="shared" ref="F20:F22" si="4">E20*(1+$J$3)</f>
        <v>0.55273600000000001</v>
      </c>
      <c r="G20" s="13">
        <f t="shared" si="0"/>
        <v>34.269632000000001</v>
      </c>
      <c r="H20" s="291">
        <v>30</v>
      </c>
      <c r="I20" s="58">
        <f t="shared" si="2"/>
        <v>2.2292887412729692</v>
      </c>
      <c r="M20" s="35"/>
    </row>
    <row r="21" spans="1:13" x14ac:dyDescent="0.3">
      <c r="A21" s="8" t="s">
        <v>108</v>
      </c>
      <c r="B21" t="s">
        <v>131</v>
      </c>
      <c r="C21" s="45">
        <v>1</v>
      </c>
      <c r="D21" t="s">
        <v>34</v>
      </c>
      <c r="E21" s="26">
        <v>26.47</v>
      </c>
      <c r="F21" s="298">
        <f t="shared" si="4"/>
        <v>31.806352</v>
      </c>
      <c r="G21" s="13">
        <f t="shared" si="0"/>
        <v>31.806352</v>
      </c>
      <c r="H21" s="291">
        <v>30</v>
      </c>
      <c r="I21" s="58">
        <f t="shared" si="2"/>
        <v>2.0690488422684252</v>
      </c>
    </row>
    <row r="22" spans="1:13" x14ac:dyDescent="0.3">
      <c r="A22" s="8" t="s">
        <v>111</v>
      </c>
      <c r="B22" t="s">
        <v>128</v>
      </c>
      <c r="C22" s="45">
        <v>4</v>
      </c>
      <c r="D22" t="s">
        <v>97</v>
      </c>
      <c r="E22" s="26">
        <v>31.95</v>
      </c>
      <c r="F22" s="298">
        <f t="shared" si="4"/>
        <v>38.391120000000001</v>
      </c>
      <c r="G22" s="13">
        <f t="shared" si="0"/>
        <v>153.56448</v>
      </c>
      <c r="H22" s="291">
        <v>20</v>
      </c>
      <c r="I22" s="58">
        <f t="shared" si="2"/>
        <v>12.322411175793173</v>
      </c>
    </row>
    <row r="23" spans="1:13" x14ac:dyDescent="0.3">
      <c r="A23" s="8" t="s">
        <v>132</v>
      </c>
      <c r="B23" t="s">
        <v>133</v>
      </c>
      <c r="C23" s="45">
        <f>M3*2</f>
        <v>360</v>
      </c>
      <c r="D23" t="s">
        <v>134</v>
      </c>
      <c r="E23" s="26" t="s">
        <v>141</v>
      </c>
      <c r="F23" s="298">
        <f>(450/96)</f>
        <v>4.6875</v>
      </c>
      <c r="G23" s="13">
        <f t="shared" si="0"/>
        <v>1687.5</v>
      </c>
      <c r="H23" s="291">
        <v>3</v>
      </c>
      <c r="I23" s="58">
        <f t="shared" si="2"/>
        <v>619.66445281522601</v>
      </c>
    </row>
    <row r="24" spans="1:13" x14ac:dyDescent="0.3">
      <c r="A24" s="8" t="s">
        <v>27</v>
      </c>
      <c r="C24" s="45">
        <f>(M3*2)+(M2*2)</f>
        <v>410</v>
      </c>
      <c r="D24" t="s">
        <v>98</v>
      </c>
      <c r="E24" s="26" t="s">
        <v>141</v>
      </c>
      <c r="F24" s="298">
        <f>'GDC Materials'!C23</f>
        <v>1.3725000000000001E-2</v>
      </c>
      <c r="G24" s="13">
        <f>F24*C24</f>
        <v>5.6272500000000001</v>
      </c>
      <c r="H24" s="291">
        <v>15</v>
      </c>
      <c r="I24" s="58">
        <f t="shared" si="2"/>
        <v>0.54214213794912036</v>
      </c>
    </row>
    <row r="25" spans="1:13" x14ac:dyDescent="0.3">
      <c r="A25" s="8" t="s">
        <v>112</v>
      </c>
      <c r="C25" s="45">
        <f>M3/10</f>
        <v>18</v>
      </c>
      <c r="D25" t="s">
        <v>97</v>
      </c>
      <c r="E25" s="26" t="s">
        <v>141</v>
      </c>
      <c r="F25" s="298">
        <v>7.5</v>
      </c>
      <c r="G25" s="13">
        <f t="shared" si="0"/>
        <v>135</v>
      </c>
      <c r="H25" s="291">
        <v>3</v>
      </c>
      <c r="I25" s="58">
        <f t="shared" si="2"/>
        <v>49.573156225218078</v>
      </c>
    </row>
    <row r="26" spans="1:13" x14ac:dyDescent="0.3">
      <c r="A26" s="8" t="s">
        <v>144</v>
      </c>
      <c r="C26" s="45">
        <v>1</v>
      </c>
      <c r="D26" t="s">
        <v>34</v>
      </c>
      <c r="E26" s="26" t="s">
        <v>141</v>
      </c>
      <c r="F26" s="298">
        <v>901.2</v>
      </c>
      <c r="G26" s="13">
        <f>F26*C26</f>
        <v>901.2</v>
      </c>
      <c r="H26" s="291">
        <v>30</v>
      </c>
      <c r="I26" s="58">
        <f t="shared" si="2"/>
        <v>58.624353294345262</v>
      </c>
    </row>
    <row r="27" spans="1:13" x14ac:dyDescent="0.3">
      <c r="A27" s="8" t="s">
        <v>113</v>
      </c>
      <c r="B27" t="s">
        <v>125</v>
      </c>
      <c r="C27" s="45">
        <f>C29</f>
        <v>30</v>
      </c>
      <c r="D27" t="s">
        <v>97</v>
      </c>
      <c r="E27" s="26">
        <v>10.97</v>
      </c>
      <c r="F27" s="298">
        <f>E27*(1+$J$3)</f>
        <v>13.181552</v>
      </c>
      <c r="G27" s="13">
        <f t="shared" si="0"/>
        <v>395.44655999999998</v>
      </c>
      <c r="H27" s="291">
        <v>40</v>
      </c>
      <c r="I27" s="58">
        <f t="shared" si="2"/>
        <v>23.04589835623413</v>
      </c>
    </row>
    <row r="28" spans="1:13" x14ac:dyDescent="0.3">
      <c r="A28" s="8" t="s">
        <v>124</v>
      </c>
      <c r="B28" t="s">
        <v>138</v>
      </c>
      <c r="C28" s="45">
        <f>C30</f>
        <v>60</v>
      </c>
      <c r="D28" t="s">
        <v>98</v>
      </c>
      <c r="E28" s="26">
        <f>E27/12</f>
        <v>0.91416666666666668</v>
      </c>
      <c r="F28" s="298">
        <f t="shared" ref="F28:F32" si="5">E28*(1+$J$3)</f>
        <v>1.0984626666666666</v>
      </c>
      <c r="G28" s="13">
        <f t="shared" si="0"/>
        <v>65.907759999999996</v>
      </c>
      <c r="H28" s="291">
        <v>40</v>
      </c>
      <c r="I28" s="58">
        <f t="shared" si="2"/>
        <v>3.8409830593723542</v>
      </c>
    </row>
    <row r="29" spans="1:13" x14ac:dyDescent="0.3">
      <c r="A29" s="8" t="s">
        <v>114</v>
      </c>
      <c r="B29" t="s">
        <v>122</v>
      </c>
      <c r="C29" s="45">
        <f>ROUNDUP((M3/12*2),0)</f>
        <v>30</v>
      </c>
      <c r="D29" t="s">
        <v>97</v>
      </c>
      <c r="E29" s="26">
        <v>6.97</v>
      </c>
      <c r="F29" s="298">
        <f t="shared" si="5"/>
        <v>8.3751519999999999</v>
      </c>
      <c r="G29" s="13">
        <f t="shared" si="0"/>
        <v>251.25456</v>
      </c>
      <c r="H29" s="291">
        <v>40</v>
      </c>
      <c r="I29" s="58">
        <f t="shared" si="2"/>
        <v>14.64265374138121</v>
      </c>
    </row>
    <row r="30" spans="1:13" x14ac:dyDescent="0.3">
      <c r="A30" s="8" t="s">
        <v>123</v>
      </c>
      <c r="B30" t="s">
        <v>139</v>
      </c>
      <c r="C30" s="45">
        <f>ROUNDUP(C29*2,0)</f>
        <v>60</v>
      </c>
      <c r="D30" t="s">
        <v>98</v>
      </c>
      <c r="E30" s="26">
        <f>E29/12</f>
        <v>0.58083333333333331</v>
      </c>
      <c r="F30" s="298">
        <f t="shared" si="5"/>
        <v>0.69792933333333329</v>
      </c>
      <c r="G30" s="13">
        <f t="shared" si="0"/>
        <v>41.87576</v>
      </c>
      <c r="H30" s="291">
        <v>40</v>
      </c>
      <c r="I30" s="58">
        <f t="shared" si="2"/>
        <v>2.4404422902302016</v>
      </c>
    </row>
    <row r="31" spans="1:13" x14ac:dyDescent="0.3">
      <c r="A31" s="8" t="s">
        <v>115</v>
      </c>
      <c r="B31" t="s">
        <v>126</v>
      </c>
      <c r="C31" s="45">
        <v>4</v>
      </c>
      <c r="D31" t="s">
        <v>97</v>
      </c>
      <c r="E31" s="26">
        <v>21.97</v>
      </c>
      <c r="F31" s="298">
        <f t="shared" si="5"/>
        <v>26.399151999999997</v>
      </c>
      <c r="G31" s="13">
        <f t="shared" si="0"/>
        <v>105.59660799999999</v>
      </c>
      <c r="H31" s="291">
        <v>40</v>
      </c>
      <c r="I31" s="58">
        <f t="shared" si="2"/>
        <v>6.1539761396106201</v>
      </c>
    </row>
    <row r="32" spans="1:13" x14ac:dyDescent="0.3">
      <c r="A32" s="7" t="s">
        <v>115</v>
      </c>
      <c r="B32" s="2" t="s">
        <v>127</v>
      </c>
      <c r="C32" s="66">
        <v>2</v>
      </c>
      <c r="D32" s="2" t="s">
        <v>97</v>
      </c>
      <c r="E32" s="17">
        <v>17.97</v>
      </c>
      <c r="F32" s="298">
        <f t="shared" si="5"/>
        <v>21.592751999999997</v>
      </c>
      <c r="G32" s="13">
        <f t="shared" si="0"/>
        <v>43.185503999999995</v>
      </c>
      <c r="H32" s="299">
        <v>40</v>
      </c>
      <c r="I32" s="58">
        <f t="shared" si="2"/>
        <v>2.5167717621484487</v>
      </c>
    </row>
    <row r="33" spans="5:9" ht="16.2" thickBot="1" x14ac:dyDescent="0.35">
      <c r="E33" s="3"/>
      <c r="F33" s="43" t="s">
        <v>15</v>
      </c>
      <c r="G33" s="42">
        <f>SUM(G3:G32)</f>
        <v>8490.0499694978334</v>
      </c>
      <c r="H33" s="53" t="s">
        <v>182</v>
      </c>
      <c r="I33" s="42">
        <f>SUM(I3:I32)</f>
        <v>1391.2247833883821</v>
      </c>
    </row>
    <row r="34" spans="5:9" ht="16.2" thickTop="1" x14ac:dyDescent="0.3">
      <c r="F34" s="154" t="s">
        <v>377</v>
      </c>
      <c r="G34" s="155">
        <f>G33/'Year 1 Cost'!B4</f>
        <v>1.8866777709995186</v>
      </c>
    </row>
  </sheetData>
  <mergeCells count="2">
    <mergeCell ref="L1:M1"/>
    <mergeCell ref="A1:I1"/>
  </mergeCells>
  <pageMargins left="0.7" right="0.7" top="0.75" bottom="0.75" header="0.3" footer="0.3"/>
  <ignoredErrors>
    <ignoredError sqref="F14 F18:G18"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1856E-4F2C-AE45-92DB-65E846CE1DDE}">
  <dimension ref="A1:J24"/>
  <sheetViews>
    <sheetView workbookViewId="0">
      <selection activeCell="G1" sqref="G1"/>
    </sheetView>
  </sheetViews>
  <sheetFormatPr defaultColWidth="11.19921875" defaultRowHeight="15.6" x14ac:dyDescent="0.3"/>
  <cols>
    <col min="1" max="1" width="32.296875" bestFit="1" customWidth="1"/>
    <col min="3" max="3" width="15.19921875" bestFit="1" customWidth="1"/>
    <col min="6" max="6" width="20.19921875" bestFit="1" customWidth="1"/>
    <col min="7" max="7" width="11.796875" customWidth="1"/>
    <col min="9" max="9" width="32.796875" bestFit="1" customWidth="1"/>
  </cols>
  <sheetData>
    <row r="1" spans="1:10" x14ac:dyDescent="0.3">
      <c r="A1" s="394" t="s">
        <v>80</v>
      </c>
      <c r="B1" s="394"/>
      <c r="C1" s="394"/>
      <c r="D1" s="394"/>
      <c r="E1" s="393"/>
      <c r="F1" s="49"/>
      <c r="G1" s="49"/>
      <c r="I1" s="392" t="s">
        <v>91</v>
      </c>
      <c r="J1" s="393"/>
    </row>
    <row r="2" spans="1:10" x14ac:dyDescent="0.3">
      <c r="A2" s="11" t="s">
        <v>31</v>
      </c>
      <c r="B2" s="10" t="s">
        <v>32</v>
      </c>
      <c r="C2" s="10" t="s">
        <v>34</v>
      </c>
      <c r="D2" s="403" t="s">
        <v>79</v>
      </c>
      <c r="E2" s="384"/>
      <c r="G2" s="49"/>
      <c r="I2" s="5" t="s">
        <v>9</v>
      </c>
      <c r="J2" s="18">
        <f>'High Tunnel Materials'!M2</f>
        <v>25</v>
      </c>
    </row>
    <row r="3" spans="1:10" x14ac:dyDescent="0.3">
      <c r="A3" s="18" t="s">
        <v>158</v>
      </c>
      <c r="B3" s="292">
        <f>10/J3</f>
        <v>5.5555555555555552E-2</v>
      </c>
      <c r="C3" t="s">
        <v>54</v>
      </c>
      <c r="D3">
        <f>B3*'High Tunnel Materials'!C24</f>
        <v>22.777777777777775</v>
      </c>
      <c r="E3" s="18" t="s">
        <v>32</v>
      </c>
      <c r="I3" s="38" t="s">
        <v>10</v>
      </c>
      <c r="J3" s="40">
        <f>'High Tunnel Materials'!M3</f>
        <v>180</v>
      </c>
    </row>
    <row r="4" spans="1:10" x14ac:dyDescent="0.3">
      <c r="A4" s="8" t="s">
        <v>147</v>
      </c>
      <c r="B4" s="291">
        <v>3</v>
      </c>
      <c r="C4" t="s">
        <v>159</v>
      </c>
      <c r="D4" s="29">
        <f>B4*'High Tunnel Materials'!C27</f>
        <v>90</v>
      </c>
      <c r="E4" s="8" t="s">
        <v>32</v>
      </c>
      <c r="I4" s="5" t="s">
        <v>11</v>
      </c>
      <c r="J4" s="40">
        <f>'High Tunnel Materials'!M4</f>
        <v>156</v>
      </c>
    </row>
    <row r="5" spans="1:10" x14ac:dyDescent="0.3">
      <c r="A5" s="8" t="s">
        <v>160</v>
      </c>
      <c r="B5" s="291">
        <v>5</v>
      </c>
      <c r="C5" t="s">
        <v>53</v>
      </c>
      <c r="D5" s="29">
        <f>B5*'High Tunnel Materials'!C3</f>
        <v>310</v>
      </c>
      <c r="E5" s="8" t="s">
        <v>32</v>
      </c>
      <c r="I5" s="38" t="s">
        <v>92</v>
      </c>
      <c r="J5" s="40">
        <f>'High Tunnel Materials'!M5</f>
        <v>6</v>
      </c>
    </row>
    <row r="6" spans="1:10" x14ac:dyDescent="0.3">
      <c r="A6" s="8" t="s">
        <v>164</v>
      </c>
      <c r="B6" s="291">
        <v>2.5</v>
      </c>
      <c r="C6" t="s">
        <v>166</v>
      </c>
      <c r="D6" s="29">
        <f>B6*'High Tunnel Materials'!M7*4</f>
        <v>310</v>
      </c>
      <c r="E6" s="8" t="s">
        <v>32</v>
      </c>
      <c r="I6" s="38" t="s">
        <v>93</v>
      </c>
      <c r="J6" s="40">
        <f>'High Tunnel Materials'!M6</f>
        <v>39.269949999999994</v>
      </c>
    </row>
    <row r="7" spans="1:10" x14ac:dyDescent="0.3">
      <c r="A7" s="8" t="s">
        <v>163</v>
      </c>
      <c r="B7" s="291">
        <v>3</v>
      </c>
      <c r="C7" t="s">
        <v>162</v>
      </c>
      <c r="D7" s="29">
        <f>B7*3*'High Tunnel Materials'!M7</f>
        <v>279</v>
      </c>
      <c r="E7" s="8" t="s">
        <v>32</v>
      </c>
      <c r="I7" s="38" t="s">
        <v>94</v>
      </c>
      <c r="J7" s="40">
        <f>'High Tunnel Materials'!M7</f>
        <v>31</v>
      </c>
    </row>
    <row r="8" spans="1:10" x14ac:dyDescent="0.3">
      <c r="A8" s="8" t="s">
        <v>148</v>
      </c>
      <c r="B8" s="291">
        <v>6</v>
      </c>
      <c r="C8" t="s">
        <v>161</v>
      </c>
      <c r="D8" s="29">
        <f>B8*'High Tunnel Materials'!M7</f>
        <v>186</v>
      </c>
      <c r="E8" s="8" t="s">
        <v>32</v>
      </c>
      <c r="I8" s="38" t="s">
        <v>121</v>
      </c>
      <c r="J8" s="40">
        <f>'High Tunnel Materials'!M8</f>
        <v>21</v>
      </c>
    </row>
    <row r="9" spans="1:10" x14ac:dyDescent="0.3">
      <c r="A9" s="8" t="s">
        <v>165</v>
      </c>
      <c r="B9" s="291">
        <f>B6</f>
        <v>2.5</v>
      </c>
      <c r="C9" t="s">
        <v>166</v>
      </c>
      <c r="D9" s="29">
        <f>B9*'High Tunnel Materials'!M10*'High Tunnel Materials'!M9</f>
        <v>64.285714285714278</v>
      </c>
      <c r="E9" s="8" t="s">
        <v>32</v>
      </c>
      <c r="I9" s="38" t="s">
        <v>116</v>
      </c>
      <c r="J9" s="40">
        <f>'High Tunnel Materials'!M9</f>
        <v>3</v>
      </c>
    </row>
    <row r="10" spans="1:10" x14ac:dyDescent="0.3">
      <c r="A10" s="8" t="s">
        <v>149</v>
      </c>
      <c r="B10" s="291">
        <v>3</v>
      </c>
      <c r="C10" t="s">
        <v>159</v>
      </c>
      <c r="D10" s="29">
        <f>B10*'High Tunnel Materials'!M11*'High Tunnel Materials'!M10</f>
        <v>51.428571428571431</v>
      </c>
      <c r="E10" s="8" t="s">
        <v>32</v>
      </c>
      <c r="I10" s="38" t="s">
        <v>117</v>
      </c>
      <c r="J10" s="40">
        <f>'High Tunnel Materials'!M10</f>
        <v>8.5714285714285712</v>
      </c>
    </row>
    <row r="11" spans="1:10" x14ac:dyDescent="0.3">
      <c r="A11" s="8" t="s">
        <v>150</v>
      </c>
      <c r="B11" s="291">
        <f>B4</f>
        <v>3</v>
      </c>
      <c r="C11" t="s">
        <v>159</v>
      </c>
      <c r="D11">
        <f>B11*'High Tunnel Materials'!C29</f>
        <v>90</v>
      </c>
      <c r="E11" s="8" t="s">
        <v>32</v>
      </c>
      <c r="I11" s="38" t="s">
        <v>118</v>
      </c>
      <c r="J11" s="40">
        <f>'High Tunnel Materials'!M11</f>
        <v>2</v>
      </c>
    </row>
    <row r="12" spans="1:10" x14ac:dyDescent="0.3">
      <c r="A12" s="8" t="s">
        <v>153</v>
      </c>
      <c r="B12" s="291">
        <v>15</v>
      </c>
      <c r="C12" t="s">
        <v>167</v>
      </c>
      <c r="D12">
        <f>B12*4</f>
        <v>60</v>
      </c>
      <c r="E12" s="8" t="s">
        <v>32</v>
      </c>
      <c r="I12" s="38" t="s">
        <v>119</v>
      </c>
      <c r="J12" s="40">
        <f>'High Tunnel Materials'!M12</f>
        <v>8.5714285714285712</v>
      </c>
    </row>
    <row r="13" spans="1:10" x14ac:dyDescent="0.3">
      <c r="A13" s="8" t="s">
        <v>172</v>
      </c>
      <c r="B13" s="291">
        <f>100+(0.07*'High Tunnel Materials'!M3)</f>
        <v>112.6</v>
      </c>
      <c r="C13" t="s">
        <v>168</v>
      </c>
      <c r="D13">
        <f>B13*2</f>
        <v>225.2</v>
      </c>
      <c r="E13" s="8" t="s">
        <v>32</v>
      </c>
      <c r="I13" s="38" t="s">
        <v>120</v>
      </c>
      <c r="J13" s="40">
        <f>'High Tunnel Materials'!M13</f>
        <v>21</v>
      </c>
    </row>
    <row r="14" spans="1:10" x14ac:dyDescent="0.3">
      <c r="A14" s="8" t="s">
        <v>154</v>
      </c>
      <c r="B14" s="291">
        <v>1.5</v>
      </c>
      <c r="C14" t="s">
        <v>54</v>
      </c>
      <c r="D14">
        <f>B14*'High Tunnel Materials'!M3</f>
        <v>270</v>
      </c>
      <c r="E14" s="8" t="s">
        <v>32</v>
      </c>
      <c r="I14" s="47" t="s">
        <v>140</v>
      </c>
      <c r="J14" s="48">
        <f>'High Tunnel Materials'!M14</f>
        <v>230</v>
      </c>
    </row>
    <row r="15" spans="1:10" x14ac:dyDescent="0.3">
      <c r="A15" s="8" t="s">
        <v>155</v>
      </c>
      <c r="B15" s="291">
        <v>120</v>
      </c>
      <c r="C15" t="s">
        <v>169</v>
      </c>
      <c r="D15">
        <f>B15*2</f>
        <v>240</v>
      </c>
      <c r="E15" s="8" t="s">
        <v>32</v>
      </c>
    </row>
    <row r="16" spans="1:10" x14ac:dyDescent="0.3">
      <c r="A16" s="8" t="s">
        <v>156</v>
      </c>
      <c r="B16" s="291">
        <v>12</v>
      </c>
      <c r="C16" t="s">
        <v>170</v>
      </c>
      <c r="D16">
        <f>B16*'High Tunnel Materials'!C22</f>
        <v>48</v>
      </c>
      <c r="E16" s="8" t="s">
        <v>32</v>
      </c>
    </row>
    <row r="17" spans="1:6" x14ac:dyDescent="0.3">
      <c r="A17" s="8" t="s">
        <v>157</v>
      </c>
      <c r="B17" s="291">
        <v>9</v>
      </c>
      <c r="C17" t="s">
        <v>173</v>
      </c>
      <c r="D17">
        <f>B17*'High Tunnel Materials'!M7</f>
        <v>279</v>
      </c>
      <c r="E17" s="8" t="s">
        <v>32</v>
      </c>
    </row>
    <row r="18" spans="1:6" x14ac:dyDescent="0.3">
      <c r="A18" s="8" t="s">
        <v>151</v>
      </c>
      <c r="B18" s="291">
        <v>5</v>
      </c>
      <c r="C18" t="s">
        <v>171</v>
      </c>
      <c r="D18" s="29">
        <f>B18*('High Tunnel Materials'!C20*2)</f>
        <v>620</v>
      </c>
      <c r="E18" s="8" t="s">
        <v>32</v>
      </c>
    </row>
    <row r="19" spans="1:6" x14ac:dyDescent="0.3">
      <c r="A19" s="7" t="s">
        <v>152</v>
      </c>
      <c r="B19" s="295">
        <v>3</v>
      </c>
      <c r="C19" s="2" t="s">
        <v>171</v>
      </c>
      <c r="D19" s="2">
        <f>B19*'High Tunnel Materials'!C25</f>
        <v>54</v>
      </c>
      <c r="E19" s="7" t="s">
        <v>32</v>
      </c>
    </row>
    <row r="20" spans="1:6" x14ac:dyDescent="0.3">
      <c r="C20" s="69" t="s">
        <v>35</v>
      </c>
      <c r="D20" s="268">
        <f>ROUNDUP(SUM(D3:D19)/60,0)</f>
        <v>54</v>
      </c>
      <c r="E20" s="68" t="s">
        <v>33</v>
      </c>
      <c r="F20" s="278" t="s">
        <v>324</v>
      </c>
    </row>
    <row r="21" spans="1:6" x14ac:dyDescent="0.3">
      <c r="C21" s="70" t="s">
        <v>227</v>
      </c>
      <c r="D21" s="73">
        <v>5</v>
      </c>
      <c r="E21" s="78"/>
    </row>
    <row r="22" spans="1:6" x14ac:dyDescent="0.3">
      <c r="C22" s="71" t="s">
        <v>229</v>
      </c>
      <c r="D22" s="79">
        <f>'Insert Dimensions &amp; Rates'!C25</f>
        <v>10</v>
      </c>
      <c r="E22" s="80"/>
    </row>
    <row r="23" spans="1:6" ht="16.2" thickBot="1" x14ac:dyDescent="0.35">
      <c r="C23" s="93" t="s">
        <v>230</v>
      </c>
      <c r="D23" s="94">
        <f>D22*D21*D20</f>
        <v>2700</v>
      </c>
      <c r="E23" s="81"/>
    </row>
    <row r="24" spans="1:6" ht="16.2" thickTop="1" x14ac:dyDescent="0.3"/>
  </sheetData>
  <mergeCells count="3">
    <mergeCell ref="D2:E2"/>
    <mergeCell ref="A1:E1"/>
    <mergeCell ref="I1:J1"/>
  </mergeCells>
  <pageMargins left="0.7" right="0.7" top="0.75" bottom="0.75" header="0.3" footer="0.3"/>
  <ignoredErrors>
    <ignoredError sqref="D14"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AD39-37F1-6F46-B1A7-A69FE7F23B0D}">
  <dimension ref="A1:F26"/>
  <sheetViews>
    <sheetView workbookViewId="0">
      <selection activeCell="A3" sqref="A3"/>
    </sheetView>
  </sheetViews>
  <sheetFormatPr defaultColWidth="11.19921875" defaultRowHeight="15.6" x14ac:dyDescent="0.3"/>
  <cols>
    <col min="1" max="1" width="34.69921875" bestFit="1" customWidth="1"/>
    <col min="4" max="4" width="15.5" bestFit="1" customWidth="1"/>
    <col min="5" max="5" width="57.5" customWidth="1"/>
  </cols>
  <sheetData>
    <row r="1" spans="1:6" ht="18" x14ac:dyDescent="0.35">
      <c r="A1" s="406" t="s">
        <v>418</v>
      </c>
      <c r="B1" s="407"/>
      <c r="C1" s="407"/>
      <c r="D1" s="407"/>
      <c r="E1" s="408"/>
    </row>
    <row r="5" spans="1:6" x14ac:dyDescent="0.3">
      <c r="A5" s="262" t="s">
        <v>6</v>
      </c>
      <c r="B5" s="263" t="s">
        <v>5</v>
      </c>
      <c r="C5" s="263" t="s">
        <v>14</v>
      </c>
      <c r="D5" s="262" t="s">
        <v>16</v>
      </c>
      <c r="E5" s="277" t="s">
        <v>331</v>
      </c>
      <c r="F5" s="5"/>
    </row>
    <row r="6" spans="1:6" x14ac:dyDescent="0.3">
      <c r="A6" s="8" t="s">
        <v>330</v>
      </c>
      <c r="B6" s="19">
        <v>1</v>
      </c>
      <c r="C6" s="14">
        <v>3.98</v>
      </c>
      <c r="D6" s="13">
        <f>C6*B6</f>
        <v>3.98</v>
      </c>
      <c r="E6" t="s">
        <v>332</v>
      </c>
      <c r="F6" s="5"/>
    </row>
    <row r="7" spans="1:6" x14ac:dyDescent="0.3">
      <c r="A7" s="8" t="s">
        <v>142</v>
      </c>
      <c r="B7">
        <v>1</v>
      </c>
      <c r="C7" s="26">
        <v>130</v>
      </c>
      <c r="D7" s="13">
        <f t="shared" ref="D7:D24" si="0">C7*B7</f>
        <v>130</v>
      </c>
      <c r="E7" t="s">
        <v>333</v>
      </c>
      <c r="F7" s="5"/>
    </row>
    <row r="8" spans="1:6" x14ac:dyDescent="0.3">
      <c r="A8" s="8" t="s">
        <v>7</v>
      </c>
      <c r="B8" s="3">
        <v>1</v>
      </c>
      <c r="C8" s="14">
        <v>12.97</v>
      </c>
      <c r="D8" s="13">
        <f t="shared" si="0"/>
        <v>12.97</v>
      </c>
      <c r="E8" t="s">
        <v>422</v>
      </c>
      <c r="F8" s="5"/>
    </row>
    <row r="9" spans="1:6" x14ac:dyDescent="0.3">
      <c r="A9" s="8" t="s">
        <v>8</v>
      </c>
      <c r="B9" s="3">
        <v>1</v>
      </c>
      <c r="C9" s="14">
        <v>14.97</v>
      </c>
      <c r="D9" s="13">
        <f t="shared" si="0"/>
        <v>14.97</v>
      </c>
      <c r="E9" t="s">
        <v>334</v>
      </c>
      <c r="F9" s="5"/>
    </row>
    <row r="10" spans="1:6" x14ac:dyDescent="0.3">
      <c r="A10" s="30" t="s">
        <v>42</v>
      </c>
      <c r="B10" s="3">
        <v>1</v>
      </c>
      <c r="C10" s="14">
        <v>149</v>
      </c>
      <c r="D10" s="13">
        <f t="shared" si="0"/>
        <v>149</v>
      </c>
      <c r="E10" t="s">
        <v>335</v>
      </c>
      <c r="F10" s="5"/>
    </row>
    <row r="11" spans="1:6" x14ac:dyDescent="0.3">
      <c r="A11" s="8" t="s">
        <v>24</v>
      </c>
      <c r="B11" s="19">
        <v>1</v>
      </c>
      <c r="C11" s="14">
        <v>12.97</v>
      </c>
      <c r="D11" s="13">
        <f t="shared" si="0"/>
        <v>12.97</v>
      </c>
      <c r="E11" t="s">
        <v>336</v>
      </c>
      <c r="F11" s="5"/>
    </row>
    <row r="12" spans="1:6" x14ac:dyDescent="0.3">
      <c r="A12" s="8" t="s">
        <v>23</v>
      </c>
      <c r="B12" s="3">
        <v>1</v>
      </c>
      <c r="C12" s="14">
        <v>30</v>
      </c>
      <c r="D12" s="13">
        <f t="shared" si="0"/>
        <v>30</v>
      </c>
      <c r="E12" t="s">
        <v>337</v>
      </c>
      <c r="F12" s="5"/>
    </row>
    <row r="13" spans="1:6" x14ac:dyDescent="0.3">
      <c r="A13" s="8" t="s">
        <v>45</v>
      </c>
      <c r="B13" s="19">
        <v>1</v>
      </c>
      <c r="C13" s="14">
        <v>4.97</v>
      </c>
      <c r="D13" s="13">
        <f t="shared" si="0"/>
        <v>4.97</v>
      </c>
      <c r="E13" t="s">
        <v>338</v>
      </c>
      <c r="F13" s="5"/>
    </row>
    <row r="14" spans="1:6" x14ac:dyDescent="0.3">
      <c r="A14" s="30" t="s">
        <v>145</v>
      </c>
      <c r="B14" s="19">
        <v>1</v>
      </c>
      <c r="C14" s="14">
        <v>114</v>
      </c>
      <c r="D14" s="13">
        <f t="shared" si="0"/>
        <v>114</v>
      </c>
      <c r="E14" t="s">
        <v>339</v>
      </c>
      <c r="F14" s="5"/>
    </row>
    <row r="15" spans="1:6" x14ac:dyDescent="0.3">
      <c r="A15" s="30" t="s">
        <v>146</v>
      </c>
      <c r="B15" s="19">
        <v>1</v>
      </c>
      <c r="C15" s="14">
        <v>12</v>
      </c>
      <c r="D15" s="13">
        <f t="shared" si="0"/>
        <v>12</v>
      </c>
      <c r="E15" t="s">
        <v>340</v>
      </c>
      <c r="F15" s="5"/>
    </row>
    <row r="16" spans="1:6" x14ac:dyDescent="0.3">
      <c r="A16" s="30" t="s">
        <v>143</v>
      </c>
      <c r="B16">
        <v>1</v>
      </c>
      <c r="C16" s="26">
        <v>5.97</v>
      </c>
      <c r="D16" s="13">
        <f t="shared" si="0"/>
        <v>5.97</v>
      </c>
      <c r="E16" t="s">
        <v>341</v>
      </c>
      <c r="F16" s="5"/>
    </row>
    <row r="17" spans="1:6" x14ac:dyDescent="0.3">
      <c r="A17" s="8" t="s">
        <v>184</v>
      </c>
      <c r="B17">
        <v>1</v>
      </c>
      <c r="C17" s="26">
        <v>129.99</v>
      </c>
      <c r="D17" s="13">
        <f t="shared" si="0"/>
        <v>129.99</v>
      </c>
      <c r="E17" t="s">
        <v>343</v>
      </c>
      <c r="F17" s="5"/>
    </row>
    <row r="18" spans="1:6" x14ac:dyDescent="0.3">
      <c r="A18" s="8" t="s">
        <v>193</v>
      </c>
      <c r="B18">
        <v>1</v>
      </c>
      <c r="C18" s="26">
        <v>21.97</v>
      </c>
      <c r="D18" s="13">
        <f t="shared" si="0"/>
        <v>21.97</v>
      </c>
      <c r="E18" t="s">
        <v>342</v>
      </c>
      <c r="F18" s="5"/>
    </row>
    <row r="19" spans="1:6" x14ac:dyDescent="0.3">
      <c r="A19" s="8" t="s">
        <v>183</v>
      </c>
      <c r="B19">
        <v>1</v>
      </c>
      <c r="C19" s="26">
        <v>19.97</v>
      </c>
      <c r="D19" s="13">
        <f t="shared" si="0"/>
        <v>19.97</v>
      </c>
      <c r="E19" t="s">
        <v>343</v>
      </c>
      <c r="F19" s="5"/>
    </row>
    <row r="20" spans="1:6" x14ac:dyDescent="0.3">
      <c r="A20" s="8" t="s">
        <v>21</v>
      </c>
      <c r="B20" s="19">
        <v>1</v>
      </c>
      <c r="C20" s="14">
        <v>7.98</v>
      </c>
      <c r="D20" s="13">
        <f t="shared" si="0"/>
        <v>7.98</v>
      </c>
      <c r="E20" t="s">
        <v>344</v>
      </c>
      <c r="F20" s="5"/>
    </row>
    <row r="21" spans="1:6" x14ac:dyDescent="0.3">
      <c r="A21" s="8" t="s">
        <v>22</v>
      </c>
      <c r="B21" s="3">
        <v>1</v>
      </c>
      <c r="C21" s="14">
        <v>110</v>
      </c>
      <c r="D21" s="13">
        <f t="shared" si="0"/>
        <v>110</v>
      </c>
      <c r="E21" t="s">
        <v>345</v>
      </c>
      <c r="F21" s="5"/>
    </row>
    <row r="22" spans="1:6" x14ac:dyDescent="0.3">
      <c r="A22" s="8" t="s">
        <v>25</v>
      </c>
      <c r="B22" s="19">
        <v>1</v>
      </c>
      <c r="C22" s="14">
        <v>19.79</v>
      </c>
      <c r="D22" s="13">
        <f t="shared" si="0"/>
        <v>19.79</v>
      </c>
      <c r="E22" t="s">
        <v>346</v>
      </c>
      <c r="F22" s="5"/>
    </row>
    <row r="23" spans="1:6" x14ac:dyDescent="0.3">
      <c r="A23" s="8" t="s">
        <v>62</v>
      </c>
      <c r="B23" s="19">
        <v>1</v>
      </c>
      <c r="C23" s="14">
        <v>20</v>
      </c>
      <c r="D23" s="13">
        <f t="shared" si="0"/>
        <v>20</v>
      </c>
      <c r="E23" t="s">
        <v>347</v>
      </c>
      <c r="F23" s="5"/>
    </row>
    <row r="24" spans="1:6" x14ac:dyDescent="0.3">
      <c r="A24" s="7" t="s">
        <v>20</v>
      </c>
      <c r="B24" s="116">
        <v>1</v>
      </c>
      <c r="C24" s="17">
        <v>39.979999999999997</v>
      </c>
      <c r="D24" s="28">
        <f t="shared" si="0"/>
        <v>39.979999999999997</v>
      </c>
      <c r="E24" s="6" t="s">
        <v>348</v>
      </c>
      <c r="F24" s="5"/>
    </row>
    <row r="25" spans="1:6" ht="16.2" thickBot="1" x14ac:dyDescent="0.35">
      <c r="C25" s="121" t="s">
        <v>230</v>
      </c>
      <c r="D25" s="122">
        <f>SUM(D6:D24)</f>
        <v>860.5100000000001</v>
      </c>
      <c r="E25" s="5"/>
    </row>
    <row r="26" spans="1:6" ht="16.2" thickTop="1" x14ac:dyDescent="0.3"/>
  </sheetData>
  <sortState ref="A6:D24">
    <sortCondition ref="A6"/>
  </sortState>
  <mergeCells count="1">
    <mergeCell ref="A1:E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EA51-176A-D54E-A828-475380FFC971}">
  <dimension ref="A1:N62"/>
  <sheetViews>
    <sheetView topLeftCell="A4" workbookViewId="0">
      <selection activeCell="A10" sqref="A10"/>
    </sheetView>
  </sheetViews>
  <sheetFormatPr defaultColWidth="11.19921875" defaultRowHeight="15.6" x14ac:dyDescent="0.3"/>
  <cols>
    <col min="1" max="1" width="16.296875" customWidth="1"/>
    <col min="2" max="2" width="16.69921875" customWidth="1"/>
    <col min="5" max="5" width="30.5" customWidth="1"/>
    <col min="6" max="6" width="14" customWidth="1"/>
    <col min="8" max="8" width="14.5" bestFit="1" customWidth="1"/>
    <col min="12" max="12" width="14.69921875" customWidth="1"/>
    <col min="13" max="13" width="13.296875" customWidth="1"/>
    <col min="16" max="16" width="24.19921875" customWidth="1"/>
    <col min="18" max="18" width="16.5" customWidth="1"/>
  </cols>
  <sheetData>
    <row r="1" spans="1:14" x14ac:dyDescent="0.3">
      <c r="A1" s="314" t="s">
        <v>321</v>
      </c>
      <c r="B1" s="315"/>
      <c r="C1" s="97"/>
    </row>
    <row r="2" spans="1:14" x14ac:dyDescent="0.3">
      <c r="A2" t="s">
        <v>9</v>
      </c>
      <c r="B2" s="18">
        <v>25</v>
      </c>
    </row>
    <row r="3" spans="1:14" x14ac:dyDescent="0.3">
      <c r="A3" t="s">
        <v>10</v>
      </c>
      <c r="B3" s="8">
        <v>180</v>
      </c>
    </row>
    <row r="4" spans="1:14" x14ac:dyDescent="0.3">
      <c r="A4" s="2" t="s">
        <v>322</v>
      </c>
      <c r="B4" s="7">
        <f>B2*B3</f>
        <v>4500</v>
      </c>
    </row>
    <row r="8" spans="1:14" ht="34.049999999999997" customHeight="1" x14ac:dyDescent="0.3">
      <c r="A8" s="409" t="s">
        <v>352</v>
      </c>
      <c r="B8" s="410"/>
      <c r="C8" s="410"/>
      <c r="D8" s="410"/>
      <c r="E8" s="410"/>
      <c r="F8" s="410"/>
      <c r="G8" s="410"/>
      <c r="H8" s="410"/>
      <c r="I8" s="5"/>
      <c r="J8" s="409" t="s">
        <v>428</v>
      </c>
      <c r="K8" s="410"/>
      <c r="L8" s="410"/>
      <c r="M8" s="411"/>
    </row>
    <row r="9" spans="1:14" x14ac:dyDescent="0.3">
      <c r="A9" s="124" t="s">
        <v>247</v>
      </c>
      <c r="B9" s="124" t="s">
        <v>306</v>
      </c>
      <c r="C9" s="124" t="s">
        <v>307</v>
      </c>
      <c r="D9" s="124" t="s">
        <v>308</v>
      </c>
      <c r="E9" s="124" t="s">
        <v>31</v>
      </c>
      <c r="F9" s="124" t="s">
        <v>33</v>
      </c>
      <c r="G9" s="124" t="s">
        <v>309</v>
      </c>
      <c r="H9" s="132" t="s">
        <v>323</v>
      </c>
      <c r="I9" s="5"/>
      <c r="J9" s="412" t="s">
        <v>31</v>
      </c>
      <c r="K9" s="413"/>
      <c r="L9" s="413"/>
      <c r="M9" s="120" t="s">
        <v>353</v>
      </c>
    </row>
    <row r="10" spans="1:14" ht="37.049999999999997" customHeight="1" x14ac:dyDescent="0.3">
      <c r="A10" s="125">
        <v>43174</v>
      </c>
      <c r="B10" s="126">
        <v>0.41666666666666669</v>
      </c>
      <c r="C10" s="127" t="s">
        <v>310</v>
      </c>
      <c r="D10" s="128">
        <v>0.66666666666666663</v>
      </c>
      <c r="E10" s="129" t="s">
        <v>311</v>
      </c>
      <c r="F10" s="300">
        <v>5</v>
      </c>
      <c r="G10" s="301">
        <v>3</v>
      </c>
      <c r="H10" s="291">
        <v>15</v>
      </c>
      <c r="I10" s="5"/>
      <c r="J10" s="414" t="s">
        <v>311</v>
      </c>
      <c r="K10" s="415"/>
      <c r="L10" s="415"/>
      <c r="M10">
        <f t="shared" ref="M10:M23" si="0">SUMIF($E$10:$E$62,J10,$H$10:$H$62)</f>
        <v>48</v>
      </c>
      <c r="N10" s="5"/>
    </row>
    <row r="11" spans="1:14" ht="34.950000000000003" customHeight="1" x14ac:dyDescent="0.3">
      <c r="A11" s="125">
        <v>43179</v>
      </c>
      <c r="B11" s="126">
        <v>0.41666666666666669</v>
      </c>
      <c r="C11" s="127"/>
      <c r="D11" s="128">
        <v>0.45833333333333331</v>
      </c>
      <c r="E11" s="129" t="s">
        <v>312</v>
      </c>
      <c r="F11" s="300">
        <v>1</v>
      </c>
      <c r="G11" s="301">
        <v>1</v>
      </c>
      <c r="H11" s="291">
        <v>1</v>
      </c>
      <c r="I11" s="5"/>
      <c r="J11" s="416" t="s">
        <v>312</v>
      </c>
      <c r="K11" s="417"/>
      <c r="L11" s="417"/>
      <c r="M11">
        <f t="shared" si="0"/>
        <v>16.5</v>
      </c>
      <c r="N11" s="5"/>
    </row>
    <row r="12" spans="1:14" ht="37.049999999999997" customHeight="1" x14ac:dyDescent="0.3">
      <c r="A12" s="125">
        <v>43180</v>
      </c>
      <c r="B12" s="126">
        <v>0.52083333333333337</v>
      </c>
      <c r="C12" s="127"/>
      <c r="D12" s="128">
        <v>0.6875</v>
      </c>
      <c r="E12" s="129" t="s">
        <v>311</v>
      </c>
      <c r="F12" s="300">
        <v>4</v>
      </c>
      <c r="G12" s="301">
        <v>1</v>
      </c>
      <c r="H12" s="291">
        <v>4</v>
      </c>
      <c r="I12" s="5"/>
      <c r="J12" s="416" t="s">
        <v>327</v>
      </c>
      <c r="K12" s="417"/>
      <c r="L12" s="417"/>
      <c r="M12">
        <f>SUMIF($E$10:$E$62,J12,$H$10:$H$62)+M22</f>
        <v>31.5</v>
      </c>
      <c r="N12" s="5"/>
    </row>
    <row r="13" spans="1:14" ht="34.950000000000003" customHeight="1" x14ac:dyDescent="0.3">
      <c r="A13" s="125">
        <v>43181</v>
      </c>
      <c r="B13" s="126">
        <v>0.39583333333333331</v>
      </c>
      <c r="C13" s="127"/>
      <c r="D13" s="128">
        <v>0.60416666666666663</v>
      </c>
      <c r="E13" s="129" t="s">
        <v>311</v>
      </c>
      <c r="F13" s="300">
        <v>5</v>
      </c>
      <c r="G13" s="301">
        <v>2</v>
      </c>
      <c r="H13" s="291">
        <v>10</v>
      </c>
      <c r="I13" s="5"/>
      <c r="J13" s="416" t="s">
        <v>317</v>
      </c>
      <c r="K13" s="417"/>
      <c r="L13" s="417"/>
      <c r="M13">
        <f>SUMIF($E$10:$E$62,J13,$H$10:$H$62)+M21</f>
        <v>25</v>
      </c>
      <c r="N13" s="5"/>
    </row>
    <row r="14" spans="1:14" ht="36" customHeight="1" x14ac:dyDescent="0.3">
      <c r="A14" s="125">
        <v>43186</v>
      </c>
      <c r="B14" s="126">
        <v>0.60416666666666663</v>
      </c>
      <c r="C14" s="127"/>
      <c r="D14" s="128">
        <v>0.70833333333333337</v>
      </c>
      <c r="E14" s="129" t="s">
        <v>311</v>
      </c>
      <c r="F14" s="300">
        <v>2.5</v>
      </c>
      <c r="G14" s="301">
        <v>1</v>
      </c>
      <c r="H14" s="291">
        <v>2.5</v>
      </c>
      <c r="I14" s="5"/>
      <c r="J14" s="416" t="s">
        <v>315</v>
      </c>
      <c r="K14" s="417"/>
      <c r="L14" s="417"/>
      <c r="M14">
        <f>COUNTIF(Table1[[#All],[Column5]],J14)+M26+M27</f>
        <v>13</v>
      </c>
      <c r="N14" s="5"/>
    </row>
    <row r="15" spans="1:14" ht="31.95" customHeight="1" x14ac:dyDescent="0.3">
      <c r="A15" s="125">
        <v>43187</v>
      </c>
      <c r="B15" s="126">
        <v>0.5625</v>
      </c>
      <c r="C15" s="127"/>
      <c r="D15" s="128">
        <v>0.70833333333333337</v>
      </c>
      <c r="E15" s="129" t="s">
        <v>311</v>
      </c>
      <c r="F15" s="300">
        <v>3.5</v>
      </c>
      <c r="G15" s="301">
        <v>3</v>
      </c>
      <c r="H15" s="291">
        <v>10.5</v>
      </c>
      <c r="I15" s="5"/>
      <c r="J15" s="416" t="s">
        <v>319</v>
      </c>
      <c r="K15" s="417"/>
      <c r="L15" s="417"/>
      <c r="M15">
        <f t="shared" si="0"/>
        <v>45</v>
      </c>
      <c r="N15" s="5"/>
    </row>
    <row r="16" spans="1:14" ht="34.950000000000003" customHeight="1" x14ac:dyDescent="0.3">
      <c r="A16" s="125">
        <v>43188</v>
      </c>
      <c r="B16" s="126">
        <v>0.45833333333333331</v>
      </c>
      <c r="C16" s="127"/>
      <c r="D16" s="128">
        <v>0.58333333333333337</v>
      </c>
      <c r="E16" s="129" t="s">
        <v>311</v>
      </c>
      <c r="F16" s="300">
        <v>3</v>
      </c>
      <c r="G16" s="301">
        <v>1</v>
      </c>
      <c r="H16" s="291">
        <v>3</v>
      </c>
      <c r="I16" s="5"/>
      <c r="J16" s="416" t="s">
        <v>313</v>
      </c>
      <c r="K16" s="417"/>
      <c r="L16" s="417"/>
      <c r="M16">
        <f t="shared" si="0"/>
        <v>1</v>
      </c>
      <c r="N16" s="5"/>
    </row>
    <row r="17" spans="1:14" ht="34.049999999999997" customHeight="1" x14ac:dyDescent="0.3">
      <c r="A17" s="125">
        <v>43192</v>
      </c>
      <c r="B17" s="126">
        <v>0.41666666666666669</v>
      </c>
      <c r="C17" s="127"/>
      <c r="D17" s="128">
        <v>0.54166666666666663</v>
      </c>
      <c r="E17" s="129" t="s">
        <v>311</v>
      </c>
      <c r="F17" s="300">
        <v>3</v>
      </c>
      <c r="G17" s="301">
        <v>2</v>
      </c>
      <c r="H17" s="291">
        <v>3</v>
      </c>
      <c r="I17" s="5"/>
      <c r="J17" s="416" t="s">
        <v>314</v>
      </c>
      <c r="K17" s="417"/>
      <c r="L17" s="417"/>
      <c r="M17">
        <f t="shared" si="0"/>
        <v>7</v>
      </c>
      <c r="N17" s="5"/>
    </row>
    <row r="18" spans="1:14" ht="36" customHeight="1" x14ac:dyDescent="0.3">
      <c r="A18" s="125">
        <v>43193</v>
      </c>
      <c r="B18" s="126">
        <v>0.4375</v>
      </c>
      <c r="C18" s="127"/>
      <c r="D18" s="128">
        <v>0.64583333333333337</v>
      </c>
      <c r="E18" s="129" t="s">
        <v>318</v>
      </c>
      <c r="F18" s="300">
        <v>5</v>
      </c>
      <c r="G18" s="301">
        <v>3</v>
      </c>
      <c r="H18" s="291">
        <v>15</v>
      </c>
      <c r="I18" s="5"/>
      <c r="J18" s="416" t="s">
        <v>416</v>
      </c>
      <c r="K18" s="417"/>
      <c r="L18" s="417"/>
      <c r="M18">
        <f t="shared" si="0"/>
        <v>2</v>
      </c>
      <c r="N18" s="5"/>
    </row>
    <row r="19" spans="1:14" ht="37.950000000000003" customHeight="1" x14ac:dyDescent="0.3">
      <c r="A19" s="125">
        <v>43195</v>
      </c>
      <c r="B19" s="126">
        <v>0.5625</v>
      </c>
      <c r="C19" s="127"/>
      <c r="D19" s="128">
        <v>0.58333333333333337</v>
      </c>
      <c r="E19" s="129" t="s">
        <v>313</v>
      </c>
      <c r="F19" s="300">
        <v>0.5</v>
      </c>
      <c r="G19" s="301">
        <v>2</v>
      </c>
      <c r="H19" s="291">
        <v>1</v>
      </c>
      <c r="I19" s="5"/>
      <c r="J19" s="416" t="s">
        <v>304</v>
      </c>
      <c r="K19" s="417"/>
      <c r="L19" s="417"/>
      <c r="M19">
        <f t="shared" si="0"/>
        <v>6.5</v>
      </c>
      <c r="N19" s="5"/>
    </row>
    <row r="20" spans="1:14" ht="37.950000000000003" customHeight="1" x14ac:dyDescent="0.3">
      <c r="A20" s="125">
        <v>43199</v>
      </c>
      <c r="B20" s="126">
        <v>0.58333333333333337</v>
      </c>
      <c r="C20" s="127"/>
      <c r="D20" s="128">
        <v>0.625</v>
      </c>
      <c r="E20" s="129" t="s">
        <v>314</v>
      </c>
      <c r="F20" s="300">
        <v>1</v>
      </c>
      <c r="G20" s="301">
        <v>2</v>
      </c>
      <c r="H20" s="291">
        <v>2</v>
      </c>
      <c r="I20" s="5"/>
      <c r="J20" s="416" t="s">
        <v>320</v>
      </c>
      <c r="K20" s="417"/>
      <c r="L20" s="417"/>
      <c r="M20">
        <f t="shared" si="0"/>
        <v>30</v>
      </c>
      <c r="N20" s="5"/>
    </row>
    <row r="21" spans="1:14" ht="36" customHeight="1" x14ac:dyDescent="0.3">
      <c r="A21" s="125">
        <v>43200</v>
      </c>
      <c r="B21" s="126">
        <v>0.64583333333333337</v>
      </c>
      <c r="C21" s="127"/>
      <c r="D21" s="128">
        <v>0.75</v>
      </c>
      <c r="E21" s="129" t="s">
        <v>315</v>
      </c>
      <c r="F21" s="300">
        <v>2.5</v>
      </c>
      <c r="G21" s="301">
        <v>1</v>
      </c>
      <c r="H21" s="291">
        <v>2.5</v>
      </c>
      <c r="I21" s="5"/>
      <c r="J21" s="416" t="s">
        <v>316</v>
      </c>
      <c r="K21" s="417"/>
      <c r="L21" s="417"/>
      <c r="M21">
        <f t="shared" si="0"/>
        <v>15</v>
      </c>
      <c r="N21" s="5"/>
    </row>
    <row r="22" spans="1:14" ht="37.950000000000003" customHeight="1" x14ac:dyDescent="0.3">
      <c r="A22" s="125">
        <v>43204</v>
      </c>
      <c r="B22" s="126">
        <v>0.4375</v>
      </c>
      <c r="C22" s="127"/>
      <c r="D22" s="128">
        <v>0.49305555555555558</v>
      </c>
      <c r="E22" s="129" t="s">
        <v>318</v>
      </c>
      <c r="F22" s="300">
        <v>1.5</v>
      </c>
      <c r="G22" s="301">
        <v>3</v>
      </c>
      <c r="H22" s="291">
        <v>4.5</v>
      </c>
      <c r="I22" s="5"/>
      <c r="J22" s="416" t="s">
        <v>354</v>
      </c>
      <c r="K22" s="417"/>
      <c r="L22" s="417"/>
      <c r="M22">
        <f t="shared" si="0"/>
        <v>6</v>
      </c>
      <c r="N22" s="5"/>
    </row>
    <row r="23" spans="1:14" ht="34.049999999999997" customHeight="1" x14ac:dyDescent="0.3">
      <c r="A23" s="125">
        <v>43237</v>
      </c>
      <c r="B23" s="126">
        <v>0.35416666666666669</v>
      </c>
      <c r="C23" s="127"/>
      <c r="D23" s="128">
        <v>0.5</v>
      </c>
      <c r="E23" s="129" t="s">
        <v>327</v>
      </c>
      <c r="F23" s="300">
        <v>3.5</v>
      </c>
      <c r="G23" s="301">
        <v>3</v>
      </c>
      <c r="H23" s="291">
        <v>10.5</v>
      </c>
      <c r="I23" s="5"/>
      <c r="J23" s="418" t="s">
        <v>318</v>
      </c>
      <c r="K23" s="419"/>
      <c r="L23" s="419"/>
      <c r="M23" s="7">
        <f t="shared" si="0"/>
        <v>30.5</v>
      </c>
      <c r="N23" s="5"/>
    </row>
    <row r="24" spans="1:14" ht="36" customHeight="1" thickBot="1" x14ac:dyDescent="0.35">
      <c r="A24" s="125">
        <v>43241</v>
      </c>
      <c r="B24" s="126">
        <v>0.375</v>
      </c>
      <c r="C24" s="127"/>
      <c r="D24" s="128">
        <v>0.54166666666666663</v>
      </c>
      <c r="E24" s="129" t="s">
        <v>315</v>
      </c>
      <c r="F24" s="300">
        <v>4</v>
      </c>
      <c r="G24" s="301">
        <v>1</v>
      </c>
      <c r="H24" s="291">
        <v>4</v>
      </c>
      <c r="I24" s="5"/>
      <c r="J24" s="420" t="s">
        <v>323</v>
      </c>
      <c r="K24" s="421"/>
      <c r="L24" s="421"/>
      <c r="M24" s="274">
        <f>SUM(M10:M20)+M23</f>
        <v>256</v>
      </c>
      <c r="N24" s="5"/>
    </row>
    <row r="25" spans="1:14" ht="45" customHeight="1" thickTop="1" x14ac:dyDescent="0.3">
      <c r="A25" s="125">
        <v>43242</v>
      </c>
      <c r="B25" s="126">
        <v>0.35416666666666669</v>
      </c>
      <c r="C25" s="127"/>
      <c r="D25" s="128">
        <v>0.41666666666666669</v>
      </c>
      <c r="E25" s="115" t="s">
        <v>318</v>
      </c>
      <c r="F25" s="300">
        <v>1.5</v>
      </c>
      <c r="G25" s="302">
        <v>2</v>
      </c>
      <c r="H25" s="302">
        <v>3</v>
      </c>
      <c r="I25" s="5"/>
      <c r="N25" s="3"/>
    </row>
    <row r="26" spans="1:14" ht="34.950000000000003" customHeight="1" x14ac:dyDescent="0.3">
      <c r="A26" s="125">
        <v>43244</v>
      </c>
      <c r="B26" s="126">
        <v>0.33333333333333331</v>
      </c>
      <c r="C26" s="127" t="s">
        <v>310</v>
      </c>
      <c r="D26" s="128">
        <v>0.58333333333333337</v>
      </c>
      <c r="E26" s="129" t="s">
        <v>316</v>
      </c>
      <c r="F26" s="300">
        <v>5</v>
      </c>
      <c r="G26" s="301">
        <v>3</v>
      </c>
      <c r="H26" s="291">
        <v>15</v>
      </c>
      <c r="I26" s="5"/>
      <c r="J26" s="414" t="s">
        <v>316</v>
      </c>
      <c r="K26" s="415"/>
      <c r="L26" s="415"/>
      <c r="M26" s="272">
        <f>COUNTIF(Table1[[#All],[Column5]],J26)</f>
        <v>1</v>
      </c>
      <c r="N26" s="5"/>
    </row>
    <row r="27" spans="1:14" ht="34.049999999999997" customHeight="1" x14ac:dyDescent="0.3">
      <c r="A27" s="125">
        <v>43248</v>
      </c>
      <c r="B27" s="126">
        <v>0.41666666666666669</v>
      </c>
      <c r="C27" s="127"/>
      <c r="D27" s="128">
        <v>0.58333333333333337</v>
      </c>
      <c r="E27" s="129" t="s">
        <v>315</v>
      </c>
      <c r="F27" s="300">
        <v>4</v>
      </c>
      <c r="G27" s="301">
        <v>1</v>
      </c>
      <c r="H27" s="291">
        <v>4</v>
      </c>
      <c r="I27" s="5"/>
      <c r="J27" s="418" t="s">
        <v>354</v>
      </c>
      <c r="K27" s="419"/>
      <c r="L27" s="419"/>
      <c r="M27" s="2">
        <f>COUNTIF(Table1[[#All],[Column5]],J27)</f>
        <v>1</v>
      </c>
      <c r="N27" s="5"/>
    </row>
    <row r="28" spans="1:14" ht="42" customHeight="1" x14ac:dyDescent="0.3">
      <c r="A28" s="125">
        <v>43249</v>
      </c>
      <c r="B28" s="126">
        <v>0.39583333333333331</v>
      </c>
      <c r="C28" s="127"/>
      <c r="D28" s="128">
        <v>0.5625</v>
      </c>
      <c r="E28" s="129" t="s">
        <v>312</v>
      </c>
      <c r="F28" s="300">
        <v>3.5</v>
      </c>
      <c r="G28" s="301">
        <v>3</v>
      </c>
      <c r="H28" s="291">
        <v>10.5</v>
      </c>
      <c r="I28" s="5"/>
      <c r="N28" s="3"/>
    </row>
    <row r="29" spans="1:14" ht="37.049999999999997" customHeight="1" x14ac:dyDescent="0.3">
      <c r="A29" s="125">
        <v>43255</v>
      </c>
      <c r="B29" s="126">
        <v>0.41666666666666669</v>
      </c>
      <c r="C29" s="127"/>
      <c r="D29" s="128">
        <v>0.5</v>
      </c>
      <c r="E29" s="129" t="s">
        <v>416</v>
      </c>
      <c r="F29" s="300">
        <v>2</v>
      </c>
      <c r="G29" s="301">
        <v>1</v>
      </c>
      <c r="H29" s="291">
        <v>2</v>
      </c>
      <c r="I29" s="5"/>
    </row>
    <row r="30" spans="1:14" ht="33" customHeight="1" x14ac:dyDescent="0.3">
      <c r="A30" s="125">
        <v>43256</v>
      </c>
      <c r="B30" s="126">
        <v>0.35416666666666669</v>
      </c>
      <c r="C30" s="127"/>
      <c r="D30" s="128">
        <v>0.60416666666666663</v>
      </c>
      <c r="E30" s="129" t="s">
        <v>354</v>
      </c>
      <c r="F30" s="300">
        <v>6</v>
      </c>
      <c r="G30" s="301">
        <v>1</v>
      </c>
      <c r="H30" s="291">
        <v>6</v>
      </c>
      <c r="I30" s="5"/>
    </row>
    <row r="31" spans="1:14" ht="36" customHeight="1" x14ac:dyDescent="0.3">
      <c r="A31" s="125">
        <v>43259</v>
      </c>
      <c r="B31" s="126">
        <v>0.35416666666666669</v>
      </c>
      <c r="C31" s="127"/>
      <c r="D31" s="128">
        <v>0.45833333333333331</v>
      </c>
      <c r="E31" s="129" t="s">
        <v>317</v>
      </c>
      <c r="F31" s="300">
        <v>2.5</v>
      </c>
      <c r="G31" s="301">
        <v>4</v>
      </c>
      <c r="H31" s="291">
        <v>10</v>
      </c>
      <c r="I31" s="5"/>
    </row>
    <row r="32" spans="1:14" ht="37.049999999999997" customHeight="1" x14ac:dyDescent="0.3">
      <c r="A32" s="125">
        <v>43262</v>
      </c>
      <c r="B32" s="126">
        <v>0.35416666666666669</v>
      </c>
      <c r="C32" s="127"/>
      <c r="D32" s="128">
        <v>0.52083333333333337</v>
      </c>
      <c r="E32" s="129" t="s">
        <v>318</v>
      </c>
      <c r="F32" s="300">
        <v>4</v>
      </c>
      <c r="G32" s="301">
        <v>2</v>
      </c>
      <c r="H32" s="291">
        <v>8</v>
      </c>
      <c r="I32" s="5"/>
    </row>
    <row r="33" spans="1:9" ht="31.95" customHeight="1" x14ac:dyDescent="0.3">
      <c r="A33" s="125">
        <v>43264</v>
      </c>
      <c r="B33" s="126">
        <v>0.33333333333333331</v>
      </c>
      <c r="C33" s="127"/>
      <c r="D33" s="128">
        <v>0.70833333333333337</v>
      </c>
      <c r="E33" s="129" t="s">
        <v>315</v>
      </c>
      <c r="F33" s="300">
        <v>9</v>
      </c>
      <c r="G33" s="301">
        <v>1</v>
      </c>
      <c r="H33" s="291">
        <v>9</v>
      </c>
      <c r="I33" s="5"/>
    </row>
    <row r="34" spans="1:9" ht="33" customHeight="1" x14ac:dyDescent="0.3">
      <c r="A34" s="125">
        <v>43265</v>
      </c>
      <c r="B34" s="126">
        <v>0.39583333333333331</v>
      </c>
      <c r="C34" s="127"/>
      <c r="D34" s="128">
        <v>0.5</v>
      </c>
      <c r="E34" s="129" t="s">
        <v>312</v>
      </c>
      <c r="F34" s="300">
        <v>2.5</v>
      </c>
      <c r="G34" s="301">
        <v>2</v>
      </c>
      <c r="H34" s="291">
        <v>5</v>
      </c>
      <c r="I34" s="5"/>
    </row>
    <row r="35" spans="1:9" ht="33" customHeight="1" x14ac:dyDescent="0.3">
      <c r="A35" s="125">
        <v>43266</v>
      </c>
      <c r="B35" s="126">
        <v>0.375</v>
      </c>
      <c r="C35" s="127"/>
      <c r="D35" s="128">
        <v>0.47916666666666669</v>
      </c>
      <c r="E35" s="129" t="s">
        <v>304</v>
      </c>
      <c r="F35" s="300">
        <v>2.5</v>
      </c>
      <c r="G35" s="301">
        <v>1</v>
      </c>
      <c r="H35" s="291">
        <v>2.5</v>
      </c>
      <c r="I35" s="5"/>
    </row>
    <row r="36" spans="1:9" ht="36" customHeight="1" x14ac:dyDescent="0.3">
      <c r="A36" s="125">
        <v>43269</v>
      </c>
      <c r="B36" s="126">
        <v>0.33333333333333331</v>
      </c>
      <c r="C36" s="127"/>
      <c r="D36" s="128">
        <v>0.45833333333333331</v>
      </c>
      <c r="E36" s="129" t="s">
        <v>327</v>
      </c>
      <c r="F36" s="300">
        <v>3</v>
      </c>
      <c r="G36" s="301">
        <v>3</v>
      </c>
      <c r="H36" s="291">
        <v>9</v>
      </c>
      <c r="I36" s="5"/>
    </row>
    <row r="37" spans="1:9" ht="34.950000000000003" customHeight="1" x14ac:dyDescent="0.3">
      <c r="A37" s="125">
        <v>43270</v>
      </c>
      <c r="B37" s="126">
        <v>0.33333333333333331</v>
      </c>
      <c r="C37" s="127"/>
      <c r="D37" s="128">
        <v>0.58333333333333337</v>
      </c>
      <c r="E37" s="129" t="s">
        <v>315</v>
      </c>
      <c r="F37" s="300">
        <v>2</v>
      </c>
      <c r="G37" s="301">
        <v>1</v>
      </c>
      <c r="H37" s="291">
        <v>2</v>
      </c>
      <c r="I37" s="5"/>
    </row>
    <row r="38" spans="1:9" ht="36" customHeight="1" x14ac:dyDescent="0.3">
      <c r="A38" s="125">
        <v>43273</v>
      </c>
      <c r="B38" s="126">
        <v>0.33333333333333331</v>
      </c>
      <c r="C38" s="127"/>
      <c r="D38" s="128">
        <v>0.5</v>
      </c>
      <c r="E38" s="129" t="s">
        <v>315</v>
      </c>
      <c r="F38" s="300">
        <v>2</v>
      </c>
      <c r="G38" s="301">
        <v>1</v>
      </c>
      <c r="H38" s="291">
        <v>2</v>
      </c>
      <c r="I38" s="5"/>
    </row>
    <row r="39" spans="1:9" ht="39" customHeight="1" x14ac:dyDescent="0.3">
      <c r="A39" s="125">
        <v>43276</v>
      </c>
      <c r="B39" s="126">
        <v>0.33333333333333331</v>
      </c>
      <c r="C39" s="127"/>
      <c r="D39" s="128">
        <v>0.58333333333333337</v>
      </c>
      <c r="E39" s="129" t="s">
        <v>315</v>
      </c>
      <c r="F39" s="300">
        <v>2</v>
      </c>
      <c r="G39" s="301">
        <v>1</v>
      </c>
      <c r="H39" s="291">
        <v>2</v>
      </c>
      <c r="I39" s="5"/>
    </row>
    <row r="40" spans="1:9" ht="34.950000000000003" customHeight="1" x14ac:dyDescent="0.3">
      <c r="A40" s="125">
        <v>43280</v>
      </c>
      <c r="B40" s="126">
        <v>0.33333333333333331</v>
      </c>
      <c r="C40" s="127"/>
      <c r="D40" s="128">
        <v>0.66666666666666663</v>
      </c>
      <c r="E40" s="129" t="s">
        <v>315</v>
      </c>
      <c r="F40" s="300">
        <v>2</v>
      </c>
      <c r="G40" s="301">
        <v>1</v>
      </c>
      <c r="H40" s="291">
        <v>2</v>
      </c>
      <c r="I40" s="5"/>
    </row>
    <row r="41" spans="1:9" ht="31.05" customHeight="1" x14ac:dyDescent="0.3">
      <c r="A41" s="125">
        <v>43286</v>
      </c>
      <c r="B41" s="126">
        <v>0.33333333333333331</v>
      </c>
      <c r="C41" s="127"/>
      <c r="D41" s="128">
        <v>0.66666666666666663</v>
      </c>
      <c r="E41" s="129" t="s">
        <v>315</v>
      </c>
      <c r="F41" s="300">
        <v>2</v>
      </c>
      <c r="G41" s="301">
        <v>1</v>
      </c>
      <c r="H41" s="291">
        <v>2</v>
      </c>
      <c r="I41" s="5"/>
    </row>
    <row r="42" spans="1:9" ht="34.950000000000003" customHeight="1" x14ac:dyDescent="0.3">
      <c r="A42" s="125">
        <v>43292</v>
      </c>
      <c r="B42" s="126">
        <v>0.33333333333333331</v>
      </c>
      <c r="C42" s="127"/>
      <c r="D42" s="128">
        <v>0.66666666666666663</v>
      </c>
      <c r="E42" s="129" t="s">
        <v>315</v>
      </c>
      <c r="F42" s="300">
        <v>2</v>
      </c>
      <c r="G42" s="301">
        <v>1</v>
      </c>
      <c r="H42" s="291">
        <v>2</v>
      </c>
      <c r="I42" s="5"/>
    </row>
    <row r="43" spans="1:9" ht="31.05" customHeight="1" x14ac:dyDescent="0.3">
      <c r="A43" s="125">
        <v>43297</v>
      </c>
      <c r="B43" s="126">
        <v>0.33333333333333331</v>
      </c>
      <c r="C43" s="127"/>
      <c r="D43" s="128">
        <v>0.70833333333333337</v>
      </c>
      <c r="E43" s="129" t="s">
        <v>315</v>
      </c>
      <c r="F43" s="300">
        <v>2</v>
      </c>
      <c r="G43" s="301">
        <v>1</v>
      </c>
      <c r="H43" s="291">
        <v>2</v>
      </c>
      <c r="I43" s="5"/>
    </row>
    <row r="44" spans="1:9" ht="42" customHeight="1" x14ac:dyDescent="0.3">
      <c r="A44" s="125">
        <v>43297</v>
      </c>
      <c r="B44" s="126">
        <v>0.33333333333333331</v>
      </c>
      <c r="C44" s="127"/>
      <c r="D44" s="128">
        <v>0.45833333333333331</v>
      </c>
      <c r="E44" s="129" t="s">
        <v>327</v>
      </c>
      <c r="F44" s="300">
        <v>3</v>
      </c>
      <c r="G44" s="301">
        <v>2</v>
      </c>
      <c r="H44" s="291">
        <v>6</v>
      </c>
      <c r="I44" s="5"/>
    </row>
    <row r="45" spans="1:9" ht="36" customHeight="1" x14ac:dyDescent="0.3">
      <c r="A45" s="125">
        <v>43305</v>
      </c>
      <c r="B45" s="126">
        <v>0.3125</v>
      </c>
      <c r="C45" s="127"/>
      <c r="D45" s="128">
        <v>0.5625</v>
      </c>
      <c r="E45" s="129" t="s">
        <v>319</v>
      </c>
      <c r="F45" s="300">
        <v>6</v>
      </c>
      <c r="G45" s="301">
        <v>5</v>
      </c>
      <c r="H45" s="291">
        <v>30</v>
      </c>
      <c r="I45" s="5"/>
    </row>
    <row r="46" spans="1:9" ht="37.049999999999997" customHeight="1" x14ac:dyDescent="0.3">
      <c r="A46" s="125">
        <v>43311</v>
      </c>
      <c r="B46" s="126">
        <v>0.33333333333333331</v>
      </c>
      <c r="C46" s="127"/>
      <c r="D46" s="128">
        <v>0.45833333333333331</v>
      </c>
      <c r="E46" s="129" t="s">
        <v>319</v>
      </c>
      <c r="F46" s="300">
        <v>3</v>
      </c>
      <c r="G46" s="301">
        <v>5</v>
      </c>
      <c r="H46" s="291">
        <v>15</v>
      </c>
      <c r="I46" s="5"/>
    </row>
    <row r="47" spans="1:9" ht="37.950000000000003" customHeight="1" x14ac:dyDescent="0.3">
      <c r="A47" s="125">
        <v>43344</v>
      </c>
      <c r="B47" s="126">
        <v>0.54166666666666663</v>
      </c>
      <c r="C47" s="127"/>
      <c r="D47" s="128">
        <v>0.58333333333333337</v>
      </c>
      <c r="E47" s="129" t="s">
        <v>314</v>
      </c>
      <c r="F47" s="300">
        <v>1</v>
      </c>
      <c r="G47" s="301">
        <v>1</v>
      </c>
      <c r="H47" s="291">
        <v>1</v>
      </c>
      <c r="I47" s="5"/>
    </row>
    <row r="48" spans="1:9" ht="34.950000000000003" customHeight="1" x14ac:dyDescent="0.3">
      <c r="A48" s="125">
        <v>43365</v>
      </c>
      <c r="B48" s="126">
        <v>0.5</v>
      </c>
      <c r="C48" s="127"/>
      <c r="D48" s="128">
        <v>0.54166666666666663</v>
      </c>
      <c r="E48" s="129" t="s">
        <v>314</v>
      </c>
      <c r="F48" s="300">
        <v>1</v>
      </c>
      <c r="G48" s="301">
        <v>1</v>
      </c>
      <c r="H48" s="291">
        <v>1</v>
      </c>
      <c r="I48" s="5"/>
    </row>
    <row r="49" spans="1:9" ht="40.049999999999997" customHeight="1" x14ac:dyDescent="0.3">
      <c r="A49" s="125">
        <v>43386</v>
      </c>
      <c r="B49" s="126">
        <v>0.41666666666666669</v>
      </c>
      <c r="C49" s="127"/>
      <c r="D49" s="128">
        <v>0.58333333333333337</v>
      </c>
      <c r="E49" s="129" t="s">
        <v>304</v>
      </c>
      <c r="F49" s="300">
        <v>4</v>
      </c>
      <c r="G49" s="301">
        <v>1</v>
      </c>
      <c r="H49" s="291">
        <v>4</v>
      </c>
      <c r="I49" s="5"/>
    </row>
    <row r="50" spans="1:9" ht="36" customHeight="1" x14ac:dyDescent="0.3">
      <c r="A50" s="125">
        <v>43414</v>
      </c>
      <c r="B50" s="126">
        <v>0.54166666666666663</v>
      </c>
      <c r="C50" s="127"/>
      <c r="D50" s="128">
        <v>0.58333333333333337</v>
      </c>
      <c r="E50" s="129" t="s">
        <v>314</v>
      </c>
      <c r="F50" s="300">
        <v>1</v>
      </c>
      <c r="G50" s="301">
        <v>1</v>
      </c>
      <c r="H50" s="291">
        <v>1</v>
      </c>
      <c r="I50" s="5"/>
    </row>
    <row r="51" spans="1:9" ht="42" customHeight="1" x14ac:dyDescent="0.3">
      <c r="A51" s="125">
        <v>43435</v>
      </c>
      <c r="B51" s="126">
        <v>0.54166666666666663</v>
      </c>
      <c r="C51" s="127"/>
      <c r="D51" s="128">
        <v>0.58333333333333337</v>
      </c>
      <c r="E51" s="129" t="s">
        <v>314</v>
      </c>
      <c r="F51" s="300">
        <v>1</v>
      </c>
      <c r="G51" s="301">
        <v>1</v>
      </c>
      <c r="H51" s="291">
        <v>1</v>
      </c>
      <c r="I51" s="5"/>
    </row>
    <row r="52" spans="1:9" ht="46.05" customHeight="1" x14ac:dyDescent="0.3">
      <c r="A52" s="125">
        <v>43463</v>
      </c>
      <c r="B52" s="126">
        <v>0.54166666666666663</v>
      </c>
      <c r="C52" s="127"/>
      <c r="D52" s="128">
        <v>0.58333333333333337</v>
      </c>
      <c r="E52" s="129" t="s">
        <v>314</v>
      </c>
      <c r="F52" s="300">
        <v>1</v>
      </c>
      <c r="G52" s="301">
        <v>1</v>
      </c>
      <c r="H52" s="291">
        <v>1</v>
      </c>
      <c r="I52" s="5"/>
    </row>
    <row r="53" spans="1:9" ht="34.950000000000003" customHeight="1" x14ac:dyDescent="0.3">
      <c r="A53" s="125">
        <v>43166</v>
      </c>
      <c r="B53" s="156"/>
      <c r="C53" s="157"/>
      <c r="D53" s="158"/>
      <c r="E53" s="129" t="s">
        <v>320</v>
      </c>
      <c r="F53" s="300">
        <v>3</v>
      </c>
      <c r="G53" s="301">
        <v>1</v>
      </c>
      <c r="H53" s="291">
        <v>3</v>
      </c>
      <c r="I53" s="5"/>
    </row>
    <row r="54" spans="1:9" ht="46.95" customHeight="1" x14ac:dyDescent="0.3">
      <c r="A54" s="125">
        <v>43201</v>
      </c>
      <c r="B54" s="156"/>
      <c r="C54" s="157"/>
      <c r="D54" s="158"/>
      <c r="E54" s="129" t="s">
        <v>320</v>
      </c>
      <c r="F54" s="300">
        <v>3</v>
      </c>
      <c r="G54" s="301">
        <v>1</v>
      </c>
      <c r="H54" s="291">
        <v>3</v>
      </c>
      <c r="I54" s="5"/>
    </row>
    <row r="55" spans="1:9" ht="40.950000000000003" customHeight="1" x14ac:dyDescent="0.3">
      <c r="A55" s="125">
        <v>43213</v>
      </c>
      <c r="B55" s="156"/>
      <c r="C55" s="157"/>
      <c r="D55" s="158"/>
      <c r="E55" s="129" t="s">
        <v>320</v>
      </c>
      <c r="F55" s="300">
        <v>3</v>
      </c>
      <c r="G55" s="301">
        <v>1</v>
      </c>
      <c r="H55" s="291">
        <v>3</v>
      </c>
      <c r="I55" s="5"/>
    </row>
    <row r="56" spans="1:9" ht="40.950000000000003" customHeight="1" x14ac:dyDescent="0.3">
      <c r="A56" s="125">
        <v>43229</v>
      </c>
      <c r="B56" s="156"/>
      <c r="C56" s="157"/>
      <c r="D56" s="158"/>
      <c r="E56" s="129" t="s">
        <v>320</v>
      </c>
      <c r="F56" s="300">
        <v>3</v>
      </c>
      <c r="G56" s="301">
        <v>1</v>
      </c>
      <c r="H56" s="291">
        <v>3</v>
      </c>
      <c r="I56" s="5"/>
    </row>
    <row r="57" spans="1:9" ht="43.95" customHeight="1" x14ac:dyDescent="0.3">
      <c r="A57" s="125">
        <v>43242</v>
      </c>
      <c r="B57" s="156"/>
      <c r="C57" s="157"/>
      <c r="D57" s="158"/>
      <c r="E57" s="129" t="s">
        <v>320</v>
      </c>
      <c r="F57" s="300">
        <v>3</v>
      </c>
      <c r="G57" s="301">
        <v>1</v>
      </c>
      <c r="H57" s="291">
        <v>3</v>
      </c>
      <c r="I57" s="5"/>
    </row>
    <row r="58" spans="1:9" ht="45" customHeight="1" x14ac:dyDescent="0.3">
      <c r="A58" s="125">
        <v>43259</v>
      </c>
      <c r="B58" s="156"/>
      <c r="C58" s="157"/>
      <c r="D58" s="158"/>
      <c r="E58" s="129" t="s">
        <v>320</v>
      </c>
      <c r="F58" s="300">
        <v>3</v>
      </c>
      <c r="G58" s="301">
        <v>1</v>
      </c>
      <c r="H58" s="291">
        <v>3</v>
      </c>
      <c r="I58" s="5"/>
    </row>
    <row r="59" spans="1:9" ht="37.049999999999997" customHeight="1" x14ac:dyDescent="0.3">
      <c r="A59" s="125">
        <v>43271</v>
      </c>
      <c r="B59" s="156"/>
      <c r="C59" s="157"/>
      <c r="D59" s="158"/>
      <c r="E59" s="129" t="s">
        <v>320</v>
      </c>
      <c r="F59" s="300">
        <v>3</v>
      </c>
      <c r="G59" s="301">
        <v>1</v>
      </c>
      <c r="H59" s="291">
        <v>3</v>
      </c>
      <c r="I59" s="5"/>
    </row>
    <row r="60" spans="1:9" ht="34.950000000000003" customHeight="1" x14ac:dyDescent="0.3">
      <c r="A60" s="125">
        <v>43284</v>
      </c>
      <c r="B60" s="156"/>
      <c r="C60" s="157"/>
      <c r="D60" s="158"/>
      <c r="E60" s="129" t="s">
        <v>320</v>
      </c>
      <c r="F60" s="300">
        <v>3</v>
      </c>
      <c r="G60" s="301">
        <v>1</v>
      </c>
      <c r="H60" s="291">
        <v>3</v>
      </c>
      <c r="I60" s="5"/>
    </row>
    <row r="61" spans="1:9" ht="34.049999999999997" customHeight="1" x14ac:dyDescent="0.3">
      <c r="A61" s="125">
        <v>43299</v>
      </c>
      <c r="B61" s="156"/>
      <c r="C61" s="157"/>
      <c r="D61" s="158"/>
      <c r="E61" s="129" t="s">
        <v>320</v>
      </c>
      <c r="F61" s="300">
        <v>3</v>
      </c>
      <c r="G61" s="301">
        <v>1</v>
      </c>
      <c r="H61" s="291">
        <v>3</v>
      </c>
      <c r="I61" s="5"/>
    </row>
    <row r="62" spans="1:9" ht="34.049999999999997" customHeight="1" x14ac:dyDescent="0.3">
      <c r="A62" s="125">
        <v>43328</v>
      </c>
      <c r="B62" s="156"/>
      <c r="C62" s="157"/>
      <c r="D62" s="158"/>
      <c r="E62" s="129" t="s">
        <v>320</v>
      </c>
      <c r="F62" s="300">
        <v>3</v>
      </c>
      <c r="G62" s="301">
        <v>1</v>
      </c>
      <c r="H62" s="291">
        <v>3</v>
      </c>
      <c r="I62" s="5"/>
    </row>
  </sheetData>
  <mergeCells count="21">
    <mergeCell ref="J27:L27"/>
    <mergeCell ref="J15:L15"/>
    <mergeCell ref="J16:L16"/>
    <mergeCell ref="J17:L17"/>
    <mergeCell ref="J18:L18"/>
    <mergeCell ref="J11:L11"/>
    <mergeCell ref="J12:L12"/>
    <mergeCell ref="J13:L13"/>
    <mergeCell ref="J14:L14"/>
    <mergeCell ref="J26:L26"/>
    <mergeCell ref="J23:L23"/>
    <mergeCell ref="J24:L24"/>
    <mergeCell ref="J19:L19"/>
    <mergeCell ref="J20:L20"/>
    <mergeCell ref="J21:L21"/>
    <mergeCell ref="J22:L22"/>
    <mergeCell ref="A1:B1"/>
    <mergeCell ref="A8:H8"/>
    <mergeCell ref="J8:M8"/>
    <mergeCell ref="J9:L9"/>
    <mergeCell ref="J10:L10"/>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9EE8-37AC-CA4F-92E1-EB932059802B}">
  <dimension ref="A1:I31"/>
  <sheetViews>
    <sheetView workbookViewId="0">
      <selection activeCell="B31" sqref="B31"/>
    </sheetView>
  </sheetViews>
  <sheetFormatPr defaultColWidth="11.19921875" defaultRowHeight="15.6" x14ac:dyDescent="0.3"/>
  <cols>
    <col min="1" max="1" width="12.296875" customWidth="1"/>
    <col min="2" max="2" width="14.796875" customWidth="1"/>
    <col min="3" max="3" width="16.19921875" customWidth="1"/>
    <col min="4" max="4" width="15.19921875" customWidth="1"/>
    <col min="5" max="5" width="14.69921875" customWidth="1"/>
    <col min="6" max="6" width="14.5" customWidth="1"/>
    <col min="7" max="7" width="14.796875" customWidth="1"/>
    <col min="8" max="8" width="15.19921875" customWidth="1"/>
    <col min="9" max="9" width="12.296875" customWidth="1"/>
  </cols>
  <sheetData>
    <row r="1" spans="1:9" ht="16.2" thickBot="1" x14ac:dyDescent="0.35">
      <c r="A1" s="324" t="s">
        <v>397</v>
      </c>
      <c r="B1" s="325"/>
      <c r="C1" s="325"/>
      <c r="D1" s="325"/>
      <c r="E1" s="325"/>
      <c r="F1" s="5"/>
      <c r="G1" s="314" t="s">
        <v>91</v>
      </c>
      <c r="H1" s="315"/>
      <c r="I1" s="27"/>
    </row>
    <row r="2" spans="1:9" x14ac:dyDescent="0.3">
      <c r="A2" s="328" t="s">
        <v>386</v>
      </c>
      <c r="B2" s="329"/>
      <c r="C2" s="173" t="s">
        <v>383</v>
      </c>
      <c r="D2" s="182" t="s">
        <v>384</v>
      </c>
      <c r="E2" s="174" t="s">
        <v>385</v>
      </c>
      <c r="F2" s="5"/>
      <c r="G2" s="38" t="s">
        <v>9</v>
      </c>
      <c r="H2" s="30">
        <f>'Insert Dimensions &amp; Rates'!C6</f>
        <v>25</v>
      </c>
    </row>
    <row r="3" spans="1:9" x14ac:dyDescent="0.3">
      <c r="A3" s="183" t="s">
        <v>300</v>
      </c>
      <c r="B3" s="163" t="s">
        <v>398</v>
      </c>
      <c r="C3" s="167">
        <f>'Insert Dimensions &amp; Rates'!F27*'Year 1 Cost'!I13</f>
        <v>0</v>
      </c>
      <c r="D3" s="167">
        <f>'Insert Dimensions &amp; Rates'!G27*'Year 1 Cost'!I13</f>
        <v>930</v>
      </c>
      <c r="E3" s="167">
        <f>'Insert Dimensions &amp; Rates'!H27*'Year 1 Cost'!I13</f>
        <v>1550</v>
      </c>
      <c r="F3" s="5"/>
      <c r="G3" s="38" t="s">
        <v>10</v>
      </c>
      <c r="H3" s="30">
        <f>'Insert Dimensions &amp; Rates'!C7</f>
        <v>180</v>
      </c>
    </row>
    <row r="4" spans="1:9" x14ac:dyDescent="0.3">
      <c r="A4" s="326" t="s">
        <v>399</v>
      </c>
      <c r="B4" s="326"/>
      <c r="C4" s="14">
        <f>'Insert Dimensions &amp; Rates'!$I$27</f>
        <v>2</v>
      </c>
      <c r="D4" s="14">
        <f>'Insert Dimensions &amp; Rates'!$I$27</f>
        <v>2</v>
      </c>
      <c r="E4" s="14">
        <f>'Insert Dimensions &amp; Rates'!$I$27</f>
        <v>2</v>
      </c>
      <c r="F4" s="5"/>
      <c r="G4" s="38" t="s">
        <v>414</v>
      </c>
      <c r="H4" s="271">
        <f>(H2*H3)/43560</f>
        <v>0.10330578512396695</v>
      </c>
    </row>
    <row r="5" spans="1:9" x14ac:dyDescent="0.3">
      <c r="A5" s="327" t="s">
        <v>386</v>
      </c>
      <c r="B5" s="327"/>
      <c r="C5" s="17">
        <f>C3*C4</f>
        <v>0</v>
      </c>
      <c r="D5" s="17">
        <f t="shared" ref="D5:E5" si="0">D3*D4</f>
        <v>1860</v>
      </c>
      <c r="E5" s="28">
        <f t="shared" si="0"/>
        <v>3100</v>
      </c>
      <c r="F5" s="5"/>
      <c r="G5" s="38" t="s">
        <v>77</v>
      </c>
      <c r="H5" s="30">
        <f>'Insert Dimensions &amp; Rates'!C11</f>
        <v>8</v>
      </c>
    </row>
    <row r="6" spans="1:9" x14ac:dyDescent="0.3">
      <c r="A6" s="12" t="s">
        <v>301</v>
      </c>
      <c r="B6" s="184" t="s">
        <v>398</v>
      </c>
      <c r="C6" s="52">
        <f>'Insert Dimensions &amp; Rates'!F27*'Year 1 Cost'!$I$14</f>
        <v>0</v>
      </c>
      <c r="D6" s="52">
        <f>'Insert Dimensions &amp; Rates'!G27*'Year 1 Cost'!$I$14</f>
        <v>930</v>
      </c>
      <c r="E6" s="52">
        <f>'Insert Dimensions &amp; Rates'!H27*'Year 1 Cost'!$I$14</f>
        <v>1550</v>
      </c>
      <c r="F6" s="5"/>
      <c r="G6" s="38" t="s">
        <v>78</v>
      </c>
      <c r="H6" s="30">
        <f>'Insert Dimensions &amp; Rates'!C12</f>
        <v>156</v>
      </c>
    </row>
    <row r="7" spans="1:9" x14ac:dyDescent="0.3">
      <c r="A7" s="330" t="s">
        <v>399</v>
      </c>
      <c r="B7" s="331"/>
      <c r="C7" s="14">
        <f>'Insert Dimensions &amp; Rates'!$I$28</f>
        <v>2</v>
      </c>
      <c r="D7" s="14">
        <f>'Insert Dimensions &amp; Rates'!$I$28</f>
        <v>2</v>
      </c>
      <c r="E7" s="14">
        <f>'Insert Dimensions &amp; Rates'!$I$28</f>
        <v>2</v>
      </c>
      <c r="F7" s="144"/>
      <c r="G7" s="38" t="s">
        <v>409</v>
      </c>
      <c r="H7" s="30">
        <f>'Insert Dimensions &amp; Rates'!C14</f>
        <v>3</v>
      </c>
    </row>
    <row r="8" spans="1:9" ht="16.2" thickBot="1" x14ac:dyDescent="0.35">
      <c r="A8" s="332" t="s">
        <v>386</v>
      </c>
      <c r="B8" s="333"/>
      <c r="C8" s="164">
        <f>C6*C7</f>
        <v>0</v>
      </c>
      <c r="D8" s="165">
        <f t="shared" ref="D8:E8" si="1">D6*D7</f>
        <v>1860</v>
      </c>
      <c r="E8" s="165">
        <f t="shared" si="1"/>
        <v>3100</v>
      </c>
      <c r="F8" s="5"/>
      <c r="G8" s="38" t="s">
        <v>76</v>
      </c>
      <c r="H8" s="30">
        <f>'Insert Dimensions &amp; Rates'!C15</f>
        <v>8</v>
      </c>
      <c r="I8" s="5"/>
    </row>
    <row r="9" spans="1:9" ht="16.2" thickTop="1" x14ac:dyDescent="0.3">
      <c r="A9" s="340" t="s">
        <v>415</v>
      </c>
      <c r="B9" s="341"/>
      <c r="C9" s="273">
        <f>C3+C6</f>
        <v>0</v>
      </c>
      <c r="D9" s="284">
        <f t="shared" ref="D9:E9" si="2">D3+D6</f>
        <v>1860</v>
      </c>
      <c r="E9" s="284">
        <f t="shared" si="2"/>
        <v>3100</v>
      </c>
      <c r="F9" s="5"/>
      <c r="G9" s="47" t="s">
        <v>410</v>
      </c>
      <c r="H9" s="116">
        <f>'Insert Dimensions &amp; Rates'!C17</f>
        <v>62</v>
      </c>
      <c r="I9" s="5"/>
    </row>
    <row r="10" spans="1:9" ht="16.2" thickBot="1" x14ac:dyDescent="0.35">
      <c r="A10" s="342" t="s">
        <v>388</v>
      </c>
      <c r="B10" s="343"/>
      <c r="C10" s="179">
        <f>C5+C8</f>
        <v>0</v>
      </c>
      <c r="D10" s="179">
        <f>D5+D8</f>
        <v>3720</v>
      </c>
      <c r="E10" s="179">
        <f>E5+E8</f>
        <v>6200</v>
      </c>
      <c r="F10" s="5"/>
      <c r="G10" s="3"/>
    </row>
    <row r="11" spans="1:9" x14ac:dyDescent="0.3">
      <c r="A11" s="186" t="s">
        <v>389</v>
      </c>
      <c r="B11" s="185" t="s">
        <v>394</v>
      </c>
      <c r="C11" s="177">
        <f>'Year 1 Cost'!O15</f>
        <v>602.95000000000005</v>
      </c>
      <c r="D11" s="177">
        <f>'Year 2 Cost'!K46</f>
        <v>38.9</v>
      </c>
      <c r="E11" s="168" t="s">
        <v>396</v>
      </c>
      <c r="F11" s="5"/>
    </row>
    <row r="12" spans="1:9" x14ac:dyDescent="0.3">
      <c r="A12" s="316" t="s">
        <v>395</v>
      </c>
      <c r="B12" s="317"/>
      <c r="C12" s="168" t="s">
        <v>396</v>
      </c>
      <c r="D12" s="177">
        <f>'Year 2 Cost'!O33</f>
        <v>73.72968925933823</v>
      </c>
      <c r="E12" s="177">
        <f>'Year 3 through 30 Cost'!O33</f>
        <v>73.72968925933823</v>
      </c>
      <c r="F12" s="5"/>
    </row>
    <row r="13" spans="1:9" ht="16.2" thickBot="1" x14ac:dyDescent="0.35">
      <c r="A13" s="318" t="s">
        <v>303</v>
      </c>
      <c r="B13" s="319"/>
      <c r="C13" s="177">
        <f>'Year 1 Cost'!O25</f>
        <v>1050</v>
      </c>
      <c r="D13" s="177">
        <f>'Year 2 Cost'!O48</f>
        <v>2286.2222222222226</v>
      </c>
      <c r="E13" s="177">
        <f>'Year 3 through 30 Cost'!O47</f>
        <v>2580</v>
      </c>
      <c r="F13" s="5"/>
      <c r="I13" s="3"/>
    </row>
    <row r="14" spans="1:9" ht="16.8" thickTop="1" thickBot="1" x14ac:dyDescent="0.35">
      <c r="A14" s="322" t="s">
        <v>390</v>
      </c>
      <c r="B14" s="323"/>
      <c r="C14" s="178">
        <f>SUM(C11:C13)</f>
        <v>1652.95</v>
      </c>
      <c r="D14" s="178">
        <f>SUM(D11:D13)</f>
        <v>2398.8519114815608</v>
      </c>
      <c r="E14" s="178">
        <f>SUM(E11:E13)</f>
        <v>2653.7296892593381</v>
      </c>
      <c r="F14" s="5"/>
    </row>
    <row r="15" spans="1:9" x14ac:dyDescent="0.3">
      <c r="A15" s="187" t="s">
        <v>387</v>
      </c>
      <c r="B15" s="282" t="s">
        <v>186</v>
      </c>
      <c r="C15" s="177">
        <f>SUM('Total Fixed Cost'!$B$4:$B$5)</f>
        <v>207.06368565080939</v>
      </c>
      <c r="D15" s="177">
        <f>SUM('Total Fixed Cost'!$B$4:$B$5)</f>
        <v>207.06368565080939</v>
      </c>
      <c r="E15" s="177">
        <f>SUM('Total Fixed Cost'!$B$4:$B$5)</f>
        <v>207.06368565080939</v>
      </c>
      <c r="F15" s="5"/>
    </row>
    <row r="16" spans="1:9" x14ac:dyDescent="0.3">
      <c r="A16" s="320" t="s">
        <v>392</v>
      </c>
      <c r="B16" s="321"/>
      <c r="C16" s="177">
        <f>SUM('Total Fixed Cost'!$C$4:$C$5)</f>
        <v>228.52033806713925</v>
      </c>
      <c r="D16" s="177">
        <f>SUM('Total Fixed Cost'!$C$4:$C$5)</f>
        <v>228.52033806713925</v>
      </c>
      <c r="E16" s="177">
        <f>SUM('Total Fixed Cost'!$C$4:$C$5)</f>
        <v>228.52033806713925</v>
      </c>
      <c r="F16" s="5"/>
    </row>
    <row r="17" spans="1:6" x14ac:dyDescent="0.3">
      <c r="A17" s="320" t="s">
        <v>188</v>
      </c>
      <c r="B17" s="321"/>
      <c r="C17" s="177">
        <f>SUM('Total Fixed Cost'!$D$4:$D$5)</f>
        <v>1566.8636581051289</v>
      </c>
      <c r="D17" s="177">
        <f>SUM('Total Fixed Cost'!$D$4:$D$5)</f>
        <v>1566.8636581051289</v>
      </c>
      <c r="E17" s="177">
        <f>SUM('Total Fixed Cost'!$D$4:$D$5)</f>
        <v>1566.8636581051289</v>
      </c>
      <c r="F17" s="5"/>
    </row>
    <row r="18" spans="1:6" x14ac:dyDescent="0.3">
      <c r="A18" s="320" t="s">
        <v>405</v>
      </c>
      <c r="B18" s="321"/>
      <c r="C18" s="177">
        <f>SUM('Total Fixed Cost'!$E$6:$E$7)</f>
        <v>69.089341526115632</v>
      </c>
      <c r="D18" s="177">
        <f>SUM('Total Fixed Cost'!$E$6:$E$7)</f>
        <v>69.089341526115632</v>
      </c>
      <c r="E18" s="177">
        <f>SUM('Total Fixed Cost'!$E$6:$E$7)</f>
        <v>69.089341526115632</v>
      </c>
      <c r="F18" s="5"/>
    </row>
    <row r="19" spans="1:6" ht="16.2" thickBot="1" x14ac:dyDescent="0.35">
      <c r="A19" s="318" t="s">
        <v>393</v>
      </c>
      <c r="B19" s="319"/>
      <c r="C19" s="177"/>
      <c r="D19" s="177"/>
      <c r="E19" s="177">
        <f>PMT('Insert Dimensions &amp; Rates'!C27,28,-Budget!D24)</f>
        <v>312.86484729911768</v>
      </c>
      <c r="F19" s="5"/>
    </row>
    <row r="20" spans="1:6" ht="16.8" thickTop="1" thickBot="1" x14ac:dyDescent="0.35">
      <c r="A20" s="322" t="s">
        <v>391</v>
      </c>
      <c r="B20" s="323"/>
      <c r="C20" s="178">
        <f>SUM(C15:C19)</f>
        <v>2071.5370233491931</v>
      </c>
      <c r="D20" s="178">
        <f>SUM(D15:D19)</f>
        <v>2071.5370233491931</v>
      </c>
      <c r="E20" s="178">
        <f>SUM(E15:E19)</f>
        <v>2384.4018706483107</v>
      </c>
      <c r="F20" s="5"/>
    </row>
    <row r="21" spans="1:6" x14ac:dyDescent="0.3">
      <c r="A21" s="338" t="s">
        <v>230</v>
      </c>
      <c r="B21" s="339"/>
      <c r="C21" s="181">
        <f>C14+C20</f>
        <v>3724.4870233491929</v>
      </c>
      <c r="D21" s="181">
        <f>D14+D20</f>
        <v>4470.3889348307539</v>
      </c>
      <c r="E21" s="181">
        <f>E14+E20</f>
        <v>5038.1315599076488</v>
      </c>
      <c r="F21" s="5"/>
    </row>
    <row r="22" spans="1:6" ht="16.2" thickBot="1" x14ac:dyDescent="0.35">
      <c r="A22" s="334" t="s">
        <v>402</v>
      </c>
      <c r="B22" s="335"/>
      <c r="C22" s="179">
        <f>C10-C21</f>
        <v>-3724.4870233491929</v>
      </c>
      <c r="D22" s="179">
        <f>D10-D21</f>
        <v>-750.3889348307539</v>
      </c>
      <c r="E22" s="179">
        <f>E10-E21</f>
        <v>1161.8684400923512</v>
      </c>
      <c r="F22" s="5"/>
    </row>
    <row r="23" spans="1:6" x14ac:dyDescent="0.3">
      <c r="A23" s="336" t="s">
        <v>404</v>
      </c>
      <c r="B23" s="336"/>
      <c r="C23" s="281">
        <v>0</v>
      </c>
      <c r="D23" s="180">
        <f>C24*'Insert Dimensions &amp; Rates'!C27</f>
        <v>186.22435116745964</v>
      </c>
      <c r="E23" s="130"/>
      <c r="F23" s="5"/>
    </row>
    <row r="24" spans="1:6" x14ac:dyDescent="0.3">
      <c r="A24" s="337" t="s">
        <v>403</v>
      </c>
      <c r="B24" s="337"/>
      <c r="C24" s="177">
        <f>-C22</f>
        <v>3724.4870233491929</v>
      </c>
      <c r="D24" s="180">
        <f>-(D22-D23)+C24</f>
        <v>4661.1003093474064</v>
      </c>
      <c r="E24" s="130"/>
      <c r="F24" s="5"/>
    </row>
    <row r="25" spans="1:6" x14ac:dyDescent="0.3">
      <c r="A25" s="312" t="s">
        <v>419</v>
      </c>
      <c r="B25" s="312"/>
      <c r="C25" s="5"/>
      <c r="E25" s="188">
        <f>E21/(E3+E6)</f>
        <v>1.6252037290024675</v>
      </c>
      <c r="F25" s="5"/>
    </row>
    <row r="26" spans="1:6" x14ac:dyDescent="0.3">
      <c r="A26" s="313" t="s">
        <v>406</v>
      </c>
      <c r="B26" s="313"/>
      <c r="C26" s="6"/>
      <c r="D26" s="2"/>
      <c r="E26" s="189">
        <f>E21/AVERAGE('Insert Dimensions &amp; Rates'!I27:I28)/'Year 1 Cost'!I15</f>
        <v>40.630093225061685</v>
      </c>
      <c r="F26" s="5"/>
    </row>
    <row r="27" spans="1:6" x14ac:dyDescent="0.3">
      <c r="A27" s="279"/>
      <c r="B27" s="279"/>
      <c r="C27" s="3"/>
      <c r="D27" s="3"/>
      <c r="E27" s="280"/>
      <c r="F27" s="3"/>
    </row>
    <row r="31" spans="1:6" x14ac:dyDescent="0.3">
      <c r="D31" s="3"/>
    </row>
  </sheetData>
  <mergeCells count="23">
    <mergeCell ref="A21:B21"/>
    <mergeCell ref="A9:B9"/>
    <mergeCell ref="A10:B10"/>
    <mergeCell ref="A17:B17"/>
    <mergeCell ref="A18:B18"/>
    <mergeCell ref="A19:B19"/>
    <mergeCell ref="A20:B20"/>
    <mergeCell ref="A25:B25"/>
    <mergeCell ref="A26:B26"/>
    <mergeCell ref="G1:H1"/>
    <mergeCell ref="A12:B12"/>
    <mergeCell ref="A13:B13"/>
    <mergeCell ref="A16:B16"/>
    <mergeCell ref="A14:B14"/>
    <mergeCell ref="A1:E1"/>
    <mergeCell ref="A4:B4"/>
    <mergeCell ref="A5:B5"/>
    <mergeCell ref="A2:B2"/>
    <mergeCell ref="A7:B7"/>
    <mergeCell ref="A8:B8"/>
    <mergeCell ref="A22:B22"/>
    <mergeCell ref="A23:B23"/>
    <mergeCell ref="A24:B24"/>
  </mergeCells>
  <pageMargins left="0.7" right="0.7" top="0.75" bottom="0.75" header="0.3" footer="0.3"/>
  <ignoredErrors>
    <ignoredError sqref="D4 E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8AB7B-1652-6C49-A91E-2354DF0EBD02}">
  <dimension ref="A1:R48"/>
  <sheetViews>
    <sheetView topLeftCell="A7" workbookViewId="0">
      <selection activeCell="A22" sqref="A22"/>
    </sheetView>
  </sheetViews>
  <sheetFormatPr defaultColWidth="11.19921875" defaultRowHeight="15.6" x14ac:dyDescent="0.3"/>
  <cols>
    <col min="1" max="1" width="28.19921875" customWidth="1"/>
    <col min="2" max="2" width="26.296875" customWidth="1"/>
    <col min="3" max="3" width="15.796875" bestFit="1" customWidth="1"/>
    <col min="4" max="4" width="9.5" customWidth="1"/>
    <col min="5" max="5" width="10.19921875" customWidth="1"/>
    <col min="6" max="6" width="11.796875" customWidth="1"/>
    <col min="7" max="7" width="11" customWidth="1"/>
    <col min="8" max="9" width="9.296875" customWidth="1"/>
    <col min="10" max="10" width="5.796875" customWidth="1"/>
    <col min="11" max="11" width="11.69921875" customWidth="1"/>
    <col min="12" max="12" width="11.19921875" customWidth="1"/>
    <col min="13" max="13" width="10.69921875" customWidth="1"/>
    <col min="14" max="14" width="9.796875" customWidth="1"/>
    <col min="15" max="15" width="10.19921875" customWidth="1"/>
    <col min="16" max="16" width="14.19921875" customWidth="1"/>
  </cols>
  <sheetData>
    <row r="1" spans="1:16" x14ac:dyDescent="0.3">
      <c r="A1" s="314" t="s">
        <v>91</v>
      </c>
      <c r="B1" s="344"/>
      <c r="C1" s="5"/>
      <c r="D1" s="3"/>
      <c r="E1" s="3"/>
      <c r="F1" s="3"/>
      <c r="G1" s="3"/>
    </row>
    <row r="2" spans="1:16" x14ac:dyDescent="0.3">
      <c r="A2" s="5" t="s">
        <v>9</v>
      </c>
      <c r="B2">
        <f>'Insert Dimensions &amp; Rates'!C6</f>
        <v>25</v>
      </c>
      <c r="C2" s="5"/>
      <c r="D2" s="3"/>
      <c r="E2" s="3"/>
      <c r="F2" s="3"/>
      <c r="G2" s="3"/>
    </row>
    <row r="3" spans="1:16" x14ac:dyDescent="0.3">
      <c r="A3" s="5" t="s">
        <v>10</v>
      </c>
      <c r="B3">
        <f>'Insert Dimensions &amp; Rates'!C7</f>
        <v>180</v>
      </c>
      <c r="C3" s="5"/>
      <c r="D3" s="3"/>
      <c r="E3" s="3"/>
      <c r="F3" s="3"/>
      <c r="G3" s="3"/>
    </row>
    <row r="4" spans="1:16" x14ac:dyDescent="0.3">
      <c r="A4" s="5" t="s">
        <v>322</v>
      </c>
      <c r="B4">
        <f>B2*B3</f>
        <v>4500</v>
      </c>
      <c r="C4" s="5"/>
      <c r="D4" s="3"/>
      <c r="E4" s="3"/>
      <c r="F4" s="3"/>
      <c r="G4" s="3"/>
    </row>
    <row r="5" spans="1:16" x14ac:dyDescent="0.3">
      <c r="A5" s="5" t="s">
        <v>367</v>
      </c>
      <c r="B5" s="109">
        <f>B4/43560</f>
        <v>0.10330578512396695</v>
      </c>
      <c r="C5" s="5"/>
      <c r="D5" s="3"/>
      <c r="E5" s="3"/>
      <c r="F5" s="3"/>
      <c r="G5" s="3"/>
    </row>
    <row r="6" spans="1:16" x14ac:dyDescent="0.3">
      <c r="A6" s="38" t="s">
        <v>237</v>
      </c>
      <c r="B6">
        <f>'Insert Dimensions &amp; Rates'!C15</f>
        <v>8</v>
      </c>
      <c r="C6" s="5"/>
      <c r="D6" s="3"/>
      <c r="E6" s="3"/>
      <c r="F6" s="3"/>
      <c r="G6" s="3"/>
    </row>
    <row r="7" spans="1:16" x14ac:dyDescent="0.3">
      <c r="A7" s="38" t="s">
        <v>13</v>
      </c>
      <c r="B7">
        <f>'Insert Dimensions &amp; Rates'!C14</f>
        <v>3</v>
      </c>
      <c r="C7" s="5"/>
      <c r="D7" s="3"/>
      <c r="E7" s="3"/>
      <c r="F7" s="3"/>
      <c r="G7" s="3"/>
    </row>
    <row r="8" spans="1:16" x14ac:dyDescent="0.3">
      <c r="A8" s="38" t="s">
        <v>240</v>
      </c>
      <c r="B8">
        <f>'Insert Dimensions &amp; Rates'!C17</f>
        <v>62</v>
      </c>
      <c r="C8" s="5"/>
      <c r="D8" s="3"/>
      <c r="E8" s="3"/>
      <c r="F8" s="3"/>
      <c r="G8" s="3"/>
    </row>
    <row r="9" spans="1:16" x14ac:dyDescent="0.3">
      <c r="A9" s="47" t="s">
        <v>357</v>
      </c>
      <c r="B9" s="7">
        <v>2</v>
      </c>
      <c r="C9" s="5"/>
      <c r="D9" s="3"/>
      <c r="E9" s="3"/>
      <c r="F9" s="3"/>
      <c r="G9" s="3"/>
    </row>
    <row r="11" spans="1:16" x14ac:dyDescent="0.3">
      <c r="A11" s="140"/>
      <c r="B11" s="345" t="s">
        <v>358</v>
      </c>
      <c r="C11" s="345"/>
      <c r="D11" s="345"/>
      <c r="E11" s="345"/>
      <c r="F11" s="345"/>
      <c r="G11" s="345"/>
      <c r="H11" s="345"/>
      <c r="I11" s="345"/>
      <c r="J11" s="345"/>
      <c r="K11" s="345"/>
      <c r="L11" s="345"/>
      <c r="M11" s="345"/>
      <c r="N11" s="345"/>
      <c r="O11" s="346"/>
    </row>
    <row r="12" spans="1:16" x14ac:dyDescent="0.3">
      <c r="A12" s="9" t="s">
        <v>31</v>
      </c>
      <c r="B12" s="1" t="s">
        <v>366</v>
      </c>
      <c r="C12" s="261" t="s">
        <v>359</v>
      </c>
      <c r="D12" s="1" t="s">
        <v>266</v>
      </c>
      <c r="E12" s="1" t="s">
        <v>34</v>
      </c>
      <c r="F12" s="1" t="s">
        <v>368</v>
      </c>
      <c r="G12" s="9" t="s">
        <v>34</v>
      </c>
      <c r="H12" s="1" t="s">
        <v>362</v>
      </c>
      <c r="I12" s="1" t="s">
        <v>5</v>
      </c>
      <c r="J12" s="1" t="s">
        <v>34</v>
      </c>
      <c r="K12" s="9" t="s">
        <v>360</v>
      </c>
      <c r="L12" s="1" t="s">
        <v>361</v>
      </c>
      <c r="M12" s="1" t="s">
        <v>363</v>
      </c>
      <c r="N12" s="142" t="s">
        <v>303</v>
      </c>
      <c r="O12" s="9" t="s">
        <v>230</v>
      </c>
      <c r="P12" s="5"/>
    </row>
    <row r="13" spans="1:16" x14ac:dyDescent="0.3">
      <c r="A13" s="141" t="s">
        <v>299</v>
      </c>
      <c r="C13" s="90" t="s">
        <v>300</v>
      </c>
      <c r="G13" s="8"/>
      <c r="H13" s="26">
        <v>9.5</v>
      </c>
      <c r="I13">
        <f>ROUNDUP(1/$B$9*$B$8,0)</f>
        <v>31</v>
      </c>
      <c r="K13" s="13">
        <f>H13*I13</f>
        <v>294.5</v>
      </c>
      <c r="L13" s="351" t="s">
        <v>380</v>
      </c>
      <c r="M13" s="352"/>
      <c r="N13" s="353"/>
      <c r="O13" s="13">
        <f>K13+M13</f>
        <v>294.5</v>
      </c>
      <c r="P13" s="5"/>
    </row>
    <row r="14" spans="1:16" x14ac:dyDescent="0.3">
      <c r="A14" s="7"/>
      <c r="B14" s="2"/>
      <c r="C14" s="110" t="s">
        <v>301</v>
      </c>
      <c r="D14" s="2"/>
      <c r="E14" s="2"/>
      <c r="F14" s="2"/>
      <c r="G14" s="7"/>
      <c r="H14" s="17">
        <v>9.9499999999999993</v>
      </c>
      <c r="I14" s="2">
        <f>ROUNDDOWN(1/$B$9*$B$8,0)</f>
        <v>31</v>
      </c>
      <c r="J14" s="2"/>
      <c r="K14" s="28">
        <f>H14*I14</f>
        <v>308.45</v>
      </c>
      <c r="L14" s="354"/>
      <c r="M14" s="355"/>
      <c r="N14" s="356"/>
      <c r="O14" s="28">
        <f>K14+M14</f>
        <v>308.45</v>
      </c>
      <c r="P14" s="5"/>
    </row>
    <row r="15" spans="1:16" ht="16.2" thickBot="1" x14ac:dyDescent="0.35">
      <c r="A15" s="118" t="s">
        <v>364</v>
      </c>
      <c r="B15" s="123"/>
      <c r="C15" s="254"/>
      <c r="D15" s="118"/>
      <c r="E15" s="118"/>
      <c r="F15" s="118"/>
      <c r="G15" s="137"/>
      <c r="H15" s="118"/>
      <c r="I15" s="118">
        <f>I13+I14</f>
        <v>62</v>
      </c>
      <c r="J15" s="118"/>
      <c r="K15" s="91">
        <f>K13+K14</f>
        <v>602.95000000000005</v>
      </c>
      <c r="L15" s="118"/>
      <c r="M15" s="118"/>
      <c r="N15" s="143"/>
      <c r="O15" s="190">
        <f>SUM(O13:O14)</f>
        <v>602.95000000000005</v>
      </c>
      <c r="P15" s="191" t="s">
        <v>302</v>
      </c>
    </row>
    <row r="16" spans="1:16" ht="16.2" thickTop="1" x14ac:dyDescent="0.3">
      <c r="A16" s="138" t="s">
        <v>371</v>
      </c>
      <c r="B16" s="1" t="s">
        <v>366</v>
      </c>
      <c r="C16" s="9" t="s">
        <v>359</v>
      </c>
      <c r="D16" s="1" t="s">
        <v>266</v>
      </c>
      <c r="E16" s="1" t="s">
        <v>34</v>
      </c>
      <c r="F16" s="1" t="s">
        <v>368</v>
      </c>
      <c r="G16" s="9" t="s">
        <v>34</v>
      </c>
      <c r="H16" s="1" t="s">
        <v>362</v>
      </c>
      <c r="I16" s="1" t="s">
        <v>5</v>
      </c>
      <c r="J16" s="1" t="s">
        <v>34</v>
      </c>
      <c r="K16" s="9" t="s">
        <v>360</v>
      </c>
      <c r="L16" s="1" t="s">
        <v>361</v>
      </c>
      <c r="M16" s="1" t="s">
        <v>363</v>
      </c>
      <c r="N16" s="142" t="s">
        <v>303</v>
      </c>
      <c r="O16" s="9" t="s">
        <v>230</v>
      </c>
    </row>
    <row r="17" spans="1:17" x14ac:dyDescent="0.3">
      <c r="A17" s="76" t="s">
        <v>312</v>
      </c>
      <c r="B17" s="130"/>
      <c r="C17" s="130"/>
      <c r="D17" s="5"/>
      <c r="H17" s="5"/>
      <c r="L17" s="145">
        <f>ROUNDUP(($B$4/'Labor Reference'!$B$4)*'Labor Reference'!M11,0)</f>
        <v>17</v>
      </c>
      <c r="M17" s="26">
        <f>'Insert Dimensions &amp; Rates'!$C$25</f>
        <v>10</v>
      </c>
      <c r="N17" s="26">
        <f t="shared" ref="N17:N24" si="0">M17*L17</f>
        <v>170</v>
      </c>
      <c r="O17" s="146">
        <f t="shared" ref="O17:O25" si="1">N17</f>
        <v>170</v>
      </c>
      <c r="P17" s="5"/>
    </row>
    <row r="18" spans="1:17" ht="16.05" customHeight="1" x14ac:dyDescent="0.3">
      <c r="A18" s="76" t="s">
        <v>315</v>
      </c>
      <c r="B18" s="130"/>
      <c r="C18" s="130"/>
      <c r="D18" s="5"/>
      <c r="H18" s="5"/>
      <c r="L18" s="145">
        <f>ROUNDUP(($B$4/'Labor Reference'!$B$4)*'Labor Reference'!M14,0)</f>
        <v>13</v>
      </c>
      <c r="M18" s="26">
        <f>'Insert Dimensions &amp; Rates'!$C$25</f>
        <v>10</v>
      </c>
      <c r="N18" s="26">
        <f t="shared" si="0"/>
        <v>130</v>
      </c>
      <c r="O18" s="146">
        <f t="shared" si="1"/>
        <v>130</v>
      </c>
      <c r="P18" s="5"/>
    </row>
    <row r="19" spans="1:17" x14ac:dyDescent="0.3">
      <c r="A19" s="76" t="s">
        <v>313</v>
      </c>
      <c r="B19" s="130"/>
      <c r="C19" s="130"/>
      <c r="D19" s="5"/>
      <c r="H19" s="5"/>
      <c r="L19" s="145">
        <f>ROUNDUP(($B$4/'Labor Reference'!$B$4)*'Labor Reference'!M16,0)</f>
        <v>1</v>
      </c>
      <c r="M19" s="26">
        <f>'Insert Dimensions &amp; Rates'!$C$25</f>
        <v>10</v>
      </c>
      <c r="N19" s="26">
        <f t="shared" si="0"/>
        <v>10</v>
      </c>
      <c r="O19" s="146">
        <f t="shared" si="1"/>
        <v>10</v>
      </c>
      <c r="P19" s="5"/>
    </row>
    <row r="20" spans="1:17" x14ac:dyDescent="0.3">
      <c r="A20" s="76" t="s">
        <v>314</v>
      </c>
      <c r="B20" s="130"/>
      <c r="C20" s="130"/>
      <c r="D20" s="5"/>
      <c r="H20" s="5"/>
      <c r="L20" s="145">
        <f>ROUNDUP(($B$4/'Labor Reference'!$B$4)*'Labor Reference'!M17,0)</f>
        <v>7</v>
      </c>
      <c r="M20" s="26">
        <f>'Insert Dimensions &amp; Rates'!$C$25</f>
        <v>10</v>
      </c>
      <c r="N20" s="26">
        <f t="shared" si="0"/>
        <v>70</v>
      </c>
      <c r="O20" s="146">
        <f t="shared" si="1"/>
        <v>70</v>
      </c>
      <c r="P20" s="5"/>
    </row>
    <row r="21" spans="1:17" x14ac:dyDescent="0.3">
      <c r="A21" s="76" t="s">
        <v>416</v>
      </c>
      <c r="B21" s="130"/>
      <c r="C21" s="130"/>
      <c r="D21" s="5"/>
      <c r="H21" s="5"/>
      <c r="L21" s="145">
        <f>ROUNDUP(($B$4/'Labor Reference'!$B$4)*'Labor Reference'!M18,0)</f>
        <v>2</v>
      </c>
      <c r="M21" s="26">
        <f>'Insert Dimensions &amp; Rates'!$C$25</f>
        <v>10</v>
      </c>
      <c r="N21" s="26">
        <f t="shared" si="0"/>
        <v>20</v>
      </c>
      <c r="O21" s="146">
        <f t="shared" si="1"/>
        <v>20</v>
      </c>
      <c r="P21" s="5"/>
    </row>
    <row r="22" spans="1:17" x14ac:dyDescent="0.3">
      <c r="A22" s="76" t="s">
        <v>304</v>
      </c>
      <c r="B22" s="130"/>
      <c r="C22" s="130"/>
      <c r="D22" s="5"/>
      <c r="H22" s="5"/>
      <c r="L22" s="145">
        <f>ROUNDUP(($B$4/'Labor Reference'!$B$4)*'Labor Reference'!M19,0)</f>
        <v>7</v>
      </c>
      <c r="M22" s="26">
        <f>'Insert Dimensions &amp; Rates'!$C$25</f>
        <v>10</v>
      </c>
      <c r="N22" s="26">
        <f t="shared" si="0"/>
        <v>70</v>
      </c>
      <c r="O22" s="146">
        <f t="shared" si="1"/>
        <v>70</v>
      </c>
      <c r="P22" s="5"/>
    </row>
    <row r="23" spans="1:17" x14ac:dyDescent="0.3">
      <c r="A23" s="76" t="s">
        <v>327</v>
      </c>
      <c r="B23" s="130"/>
      <c r="C23" s="130"/>
      <c r="D23" s="5"/>
      <c r="H23" s="5"/>
      <c r="L23" s="145">
        <f>ROUNDUP((29/35)*'Labor Reference'!M12,0)*($B$4/'Labor Reference'!$B$4)</f>
        <v>27</v>
      </c>
      <c r="M23" s="26">
        <f>'Insert Dimensions &amp; Rates'!$C$25</f>
        <v>10</v>
      </c>
      <c r="N23" s="26">
        <f t="shared" si="0"/>
        <v>270</v>
      </c>
      <c r="O23" s="146">
        <f t="shared" si="1"/>
        <v>270</v>
      </c>
      <c r="P23" s="5"/>
    </row>
    <row r="24" spans="1:17" x14ac:dyDescent="0.3">
      <c r="A24" s="133" t="s">
        <v>318</v>
      </c>
      <c r="B24" s="131"/>
      <c r="C24" s="131"/>
      <c r="D24" s="6"/>
      <c r="E24" s="2"/>
      <c r="F24" s="2"/>
      <c r="G24" s="2"/>
      <c r="H24" s="6"/>
      <c r="I24" s="2"/>
      <c r="J24" s="2"/>
      <c r="K24" s="2"/>
      <c r="L24" s="270">
        <f>ROUNDUP(($B$4/'Labor Reference'!$B$4)*'Labor Reference'!M23,0)</f>
        <v>31</v>
      </c>
      <c r="M24" s="17">
        <f>'Insert Dimensions &amp; Rates'!$C$25</f>
        <v>10</v>
      </c>
      <c r="N24" s="148">
        <f t="shared" si="0"/>
        <v>310</v>
      </c>
      <c r="O24" s="147">
        <f t="shared" si="1"/>
        <v>310</v>
      </c>
      <c r="P24" s="5"/>
    </row>
    <row r="25" spans="1:17" ht="16.2" thickBot="1" x14ac:dyDescent="0.35">
      <c r="A25" s="149" t="s">
        <v>364</v>
      </c>
      <c r="B25" s="118"/>
      <c r="C25" s="118"/>
      <c r="D25" s="118"/>
      <c r="E25" s="118"/>
      <c r="F25" s="118"/>
      <c r="G25" s="118"/>
      <c r="H25" s="118"/>
      <c r="I25" s="118"/>
      <c r="J25" s="118"/>
      <c r="K25" s="118"/>
      <c r="L25" s="269">
        <f>ROUNDUP(SUM(L17:L24),0)</f>
        <v>105</v>
      </c>
      <c r="M25" s="119">
        <f>AVERAGE(M17:M24)</f>
        <v>10</v>
      </c>
      <c r="N25" s="119">
        <f>SUM(N17:N24)</f>
        <v>1050</v>
      </c>
      <c r="O25" s="190">
        <f t="shared" si="1"/>
        <v>1050</v>
      </c>
      <c r="P25" s="347" t="s">
        <v>372</v>
      </c>
      <c r="Q25" s="348"/>
    </row>
    <row r="26" spans="1:17" ht="16.8" thickTop="1" thickBot="1" x14ac:dyDescent="0.35">
      <c r="O26" s="150">
        <f>O25+O15</f>
        <v>1652.95</v>
      </c>
      <c r="P26" s="349" t="s">
        <v>373</v>
      </c>
      <c r="Q26" s="350"/>
    </row>
    <row r="27" spans="1:17" ht="16.2" thickTop="1" x14ac:dyDescent="0.3"/>
    <row r="36" spans="18:18" ht="16.95" customHeight="1" x14ac:dyDescent="0.3">
      <c r="R36" s="5"/>
    </row>
    <row r="37" spans="18:18" x14ac:dyDescent="0.3">
      <c r="R37" s="5"/>
    </row>
    <row r="38" spans="18:18" x14ac:dyDescent="0.3">
      <c r="R38" s="5"/>
    </row>
    <row r="39" spans="18:18" x14ac:dyDescent="0.3">
      <c r="R39" s="5"/>
    </row>
    <row r="40" spans="18:18" x14ac:dyDescent="0.3">
      <c r="R40" s="5"/>
    </row>
    <row r="41" spans="18:18" x14ac:dyDescent="0.3">
      <c r="R41" s="5"/>
    </row>
    <row r="42" spans="18:18" x14ac:dyDescent="0.3">
      <c r="R42" s="5"/>
    </row>
    <row r="43" spans="18:18" x14ac:dyDescent="0.3">
      <c r="R43" s="5"/>
    </row>
    <row r="44" spans="18:18" x14ac:dyDescent="0.3">
      <c r="R44" s="5"/>
    </row>
    <row r="45" spans="18:18" x14ac:dyDescent="0.3">
      <c r="R45" s="5"/>
    </row>
    <row r="46" spans="18:18" x14ac:dyDescent="0.3">
      <c r="R46" s="5"/>
    </row>
    <row r="47" spans="18:18" x14ac:dyDescent="0.3">
      <c r="R47" s="5"/>
    </row>
    <row r="48" spans="18:18" x14ac:dyDescent="0.3">
      <c r="R48" s="5"/>
    </row>
  </sheetData>
  <mergeCells count="5">
    <mergeCell ref="A1:B1"/>
    <mergeCell ref="B11:O11"/>
    <mergeCell ref="P25:Q25"/>
    <mergeCell ref="P26:Q26"/>
    <mergeCell ref="L13:N14"/>
  </mergeCells>
  <pageMargins left="0.7" right="0.7" top="0.75" bottom="0.75" header="0.3" footer="0.3"/>
  <ignoredErrors>
    <ignoredError sqref="M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353E8-6E41-374A-9D61-A5410C1E8751}">
  <dimension ref="A1:X50"/>
  <sheetViews>
    <sheetView topLeftCell="A13" workbookViewId="0">
      <selection activeCell="C46" sqref="C46"/>
    </sheetView>
  </sheetViews>
  <sheetFormatPr defaultColWidth="11.19921875" defaultRowHeight="15.6" x14ac:dyDescent="0.3"/>
  <cols>
    <col min="1" max="1" width="28.19921875" customWidth="1"/>
    <col min="2" max="2" width="26.296875" customWidth="1"/>
    <col min="3" max="3" width="15.796875" bestFit="1" customWidth="1"/>
    <col min="4" max="4" width="9.5" customWidth="1"/>
    <col min="5" max="5" width="10.19921875" customWidth="1"/>
    <col min="6" max="6" width="11.796875" customWidth="1"/>
    <col min="7" max="7" width="11" customWidth="1"/>
    <col min="8" max="9" width="9.296875" customWidth="1"/>
    <col min="10" max="10" width="5.796875" customWidth="1"/>
    <col min="11" max="11" width="11.69921875" customWidth="1"/>
    <col min="12" max="12" width="11.19921875" customWidth="1"/>
    <col min="13" max="13" width="10.69921875" customWidth="1"/>
    <col min="14" max="14" width="9.796875" customWidth="1"/>
    <col min="15" max="15" width="10.19921875" customWidth="1"/>
    <col min="16" max="16" width="14.19921875" customWidth="1"/>
    <col min="18" max="18" width="15.796875" bestFit="1" customWidth="1"/>
    <col min="19" max="19" width="12" bestFit="1" customWidth="1"/>
    <col min="20" max="20" width="14.5" bestFit="1" customWidth="1"/>
    <col min="21" max="21" width="17" bestFit="1" customWidth="1"/>
  </cols>
  <sheetData>
    <row r="1" spans="1:23" x14ac:dyDescent="0.3">
      <c r="A1" s="314" t="s">
        <v>91</v>
      </c>
      <c r="B1" s="344"/>
      <c r="C1" s="5"/>
      <c r="D1" s="3"/>
      <c r="E1" s="3"/>
      <c r="F1" s="3"/>
      <c r="G1" s="3"/>
    </row>
    <row r="2" spans="1:23" x14ac:dyDescent="0.3">
      <c r="A2" s="5" t="s">
        <v>9</v>
      </c>
      <c r="B2">
        <f>'Insert Dimensions &amp; Rates'!C6</f>
        <v>25</v>
      </c>
      <c r="C2" s="5"/>
      <c r="D2" s="3"/>
      <c r="E2" s="3"/>
      <c r="F2" s="3"/>
      <c r="G2" s="3"/>
    </row>
    <row r="3" spans="1:23" x14ac:dyDescent="0.3">
      <c r="A3" s="5" t="s">
        <v>10</v>
      </c>
      <c r="B3">
        <f>'Insert Dimensions &amp; Rates'!C7</f>
        <v>180</v>
      </c>
      <c r="C3" s="5"/>
      <c r="D3" s="3"/>
      <c r="E3" s="3"/>
      <c r="F3" s="3"/>
      <c r="G3" s="3"/>
    </row>
    <row r="4" spans="1:23" x14ac:dyDescent="0.3">
      <c r="A4" s="5" t="s">
        <v>322</v>
      </c>
      <c r="B4">
        <f>B2*B3</f>
        <v>4500</v>
      </c>
      <c r="C4" s="5"/>
      <c r="D4" s="3"/>
      <c r="E4" s="3"/>
      <c r="F4" s="3"/>
      <c r="G4" s="3"/>
    </row>
    <row r="5" spans="1:23" x14ac:dyDescent="0.3">
      <c r="A5" s="5" t="s">
        <v>367</v>
      </c>
      <c r="B5" s="109">
        <f>B4/43560</f>
        <v>0.10330578512396695</v>
      </c>
      <c r="C5" s="5"/>
      <c r="D5" s="3"/>
      <c r="E5" s="3"/>
      <c r="F5" s="3"/>
      <c r="G5" s="3"/>
    </row>
    <row r="6" spans="1:23" x14ac:dyDescent="0.3">
      <c r="A6" s="38" t="s">
        <v>237</v>
      </c>
      <c r="B6">
        <f>'Insert Dimensions &amp; Rates'!C15</f>
        <v>8</v>
      </c>
      <c r="C6" s="5"/>
      <c r="D6" s="3"/>
      <c r="E6" s="3"/>
      <c r="F6" s="3"/>
      <c r="G6" s="3"/>
    </row>
    <row r="7" spans="1:23" x14ac:dyDescent="0.3">
      <c r="A7" s="38" t="s">
        <v>13</v>
      </c>
      <c r="B7">
        <f>'Insert Dimensions &amp; Rates'!C14</f>
        <v>3</v>
      </c>
      <c r="C7" s="5"/>
      <c r="D7" s="3"/>
      <c r="E7" s="3"/>
      <c r="F7" s="3"/>
      <c r="G7" s="3"/>
    </row>
    <row r="8" spans="1:23" x14ac:dyDescent="0.3">
      <c r="A8" s="38" t="s">
        <v>240</v>
      </c>
      <c r="B8">
        <f>'Insert Dimensions &amp; Rates'!C17</f>
        <v>62</v>
      </c>
      <c r="C8" s="5"/>
      <c r="D8" s="3"/>
      <c r="E8" s="3"/>
      <c r="F8" s="3"/>
      <c r="G8" s="3"/>
    </row>
    <row r="9" spans="1:23" x14ac:dyDescent="0.3">
      <c r="A9" s="47" t="s">
        <v>357</v>
      </c>
      <c r="B9" s="7">
        <v>2</v>
      </c>
      <c r="C9" s="5"/>
      <c r="D9" s="3"/>
      <c r="E9" s="3"/>
      <c r="F9" s="3"/>
      <c r="G9" s="3"/>
    </row>
    <row r="11" spans="1:23" x14ac:dyDescent="0.3">
      <c r="A11" s="192" t="s">
        <v>31</v>
      </c>
      <c r="B11" s="344" t="s">
        <v>374</v>
      </c>
      <c r="C11" s="344"/>
      <c r="D11" s="344"/>
      <c r="E11" s="344"/>
      <c r="F11" s="344"/>
      <c r="G11" s="344"/>
      <c r="H11" s="344"/>
      <c r="I11" s="344"/>
      <c r="J11" s="344"/>
      <c r="K11" s="344"/>
      <c r="L11" s="344"/>
      <c r="M11" s="344"/>
      <c r="N11" s="344"/>
      <c r="O11" s="315"/>
    </row>
    <row r="12" spans="1:23" x14ac:dyDescent="0.3">
      <c r="A12" s="141" t="s">
        <v>365</v>
      </c>
      <c r="B12" s="365" t="s">
        <v>366</v>
      </c>
      <c r="C12" s="367" t="s">
        <v>359</v>
      </c>
      <c r="D12" s="387" t="s">
        <v>369</v>
      </c>
      <c r="E12" s="387"/>
      <c r="F12" s="387"/>
      <c r="G12" s="388"/>
      <c r="H12" s="389" t="s">
        <v>297</v>
      </c>
      <c r="I12" s="387"/>
      <c r="J12" s="387"/>
      <c r="K12" s="388"/>
      <c r="L12" s="359" t="s">
        <v>361</v>
      </c>
      <c r="M12" s="361" t="s">
        <v>363</v>
      </c>
      <c r="N12" s="363" t="s">
        <v>303</v>
      </c>
      <c r="O12" s="151"/>
      <c r="P12" s="139"/>
    </row>
    <row r="13" spans="1:23" x14ac:dyDescent="0.3">
      <c r="A13" s="16" t="s">
        <v>247</v>
      </c>
      <c r="B13" s="366"/>
      <c r="C13" s="368"/>
      <c r="D13" s="1" t="s">
        <v>266</v>
      </c>
      <c r="E13" s="1" t="s">
        <v>34</v>
      </c>
      <c r="F13" s="1" t="s">
        <v>368</v>
      </c>
      <c r="G13" s="9" t="s">
        <v>34</v>
      </c>
      <c r="H13" s="1" t="s">
        <v>362</v>
      </c>
      <c r="I13" s="1" t="s">
        <v>5</v>
      </c>
      <c r="J13" s="1" t="s">
        <v>34</v>
      </c>
      <c r="K13" s="9" t="s">
        <v>360</v>
      </c>
      <c r="L13" s="360"/>
      <c r="M13" s="362"/>
      <c r="N13" s="364"/>
      <c r="O13" s="9" t="s">
        <v>230</v>
      </c>
      <c r="R13" s="314" t="s">
        <v>273</v>
      </c>
      <c r="S13" s="344"/>
      <c r="T13" s="344"/>
      <c r="U13" s="344"/>
      <c r="V13" s="344"/>
      <c r="W13" s="315"/>
    </row>
    <row r="14" spans="1:23" ht="31.95" customHeight="1" x14ac:dyDescent="0.3">
      <c r="A14" s="193">
        <v>43166</v>
      </c>
      <c r="B14" s="194" t="s">
        <v>248</v>
      </c>
      <c r="C14" s="247" t="s">
        <v>267</v>
      </c>
      <c r="D14" s="195">
        <v>1</v>
      </c>
      <c r="E14" s="196" t="s">
        <v>285</v>
      </c>
      <c r="F14" s="197">
        <f>$B$5*D14</f>
        <v>0.10330578512396695</v>
      </c>
      <c r="G14" s="198" t="s">
        <v>281</v>
      </c>
      <c r="H14" s="199">
        <f>VLOOKUP(C14,$R$15:$W$28,5,FALSE)</f>
        <v>0.1330787037037037</v>
      </c>
      <c r="I14" s="200">
        <f>F14/VLOOKUP(C14,$R$33:$W$46,3,FALSE)</f>
        <v>13.223140495867769</v>
      </c>
      <c r="J14" s="195" t="str">
        <f>VLOOKUP(C14,$R$15:$S$28,2,FALSE)</f>
        <v>Oz</v>
      </c>
      <c r="K14" s="201">
        <f>I14*H14</f>
        <v>1.7597183960820324</v>
      </c>
      <c r="L14" s="380" t="s">
        <v>381</v>
      </c>
      <c r="M14" s="381"/>
      <c r="N14" s="382"/>
      <c r="O14" s="202">
        <f>K14+N14</f>
        <v>1.7597183960820324</v>
      </c>
      <c r="R14" s="111" t="s">
        <v>271</v>
      </c>
      <c r="S14" s="10" t="s">
        <v>272</v>
      </c>
      <c r="T14" s="10" t="s">
        <v>274</v>
      </c>
      <c r="U14" s="11" t="s">
        <v>275</v>
      </c>
      <c r="V14" s="383" t="s">
        <v>14</v>
      </c>
      <c r="W14" s="384"/>
    </row>
    <row r="15" spans="1:23" x14ac:dyDescent="0.3">
      <c r="A15" s="386">
        <v>43201</v>
      </c>
      <c r="B15" s="378" t="s">
        <v>249</v>
      </c>
      <c r="C15" s="248" t="s">
        <v>250</v>
      </c>
      <c r="D15" s="220">
        <v>23</v>
      </c>
      <c r="E15" s="220" t="s">
        <v>264</v>
      </c>
      <c r="F15" s="221">
        <f t="shared" ref="F15:F32" si="0">$B$5*D15</f>
        <v>2.3760330578512399</v>
      </c>
      <c r="G15" s="219" t="s">
        <v>282</v>
      </c>
      <c r="H15" s="222">
        <f t="shared" ref="H15:H32" si="1">VLOOKUP(C15,$R$15:$W$28,5,FALSE)</f>
        <v>52.66</v>
      </c>
      <c r="I15" s="223">
        <f t="shared" ref="I15:I32" si="2">F15/VLOOKUP(C15,$R$33:$W$46,3,FALSE)</f>
        <v>0.14850206611570249</v>
      </c>
      <c r="J15" s="224" t="str">
        <f t="shared" ref="J15:J32" si="3">VLOOKUP(C15,$R$15:$S$28,2,FALSE)</f>
        <v>Lb</v>
      </c>
      <c r="K15" s="225">
        <f t="shared" ref="K15:K32" si="4">I15*H15</f>
        <v>7.8201188016528924</v>
      </c>
      <c r="L15" s="226"/>
      <c r="M15" s="226"/>
      <c r="N15" s="227"/>
      <c r="O15" s="228">
        <f>K15+N15</f>
        <v>7.8201188016528924</v>
      </c>
      <c r="R15" s="90" t="s">
        <v>267</v>
      </c>
      <c r="S15" t="s">
        <v>276</v>
      </c>
      <c r="T15">
        <v>432</v>
      </c>
      <c r="U15" s="13">
        <v>57.49</v>
      </c>
      <c r="V15" s="26">
        <f>U15/T15</f>
        <v>0.1330787037037037</v>
      </c>
      <c r="W15" s="18" t="s">
        <v>276</v>
      </c>
    </row>
    <row r="16" spans="1:23" x14ac:dyDescent="0.3">
      <c r="A16" s="358"/>
      <c r="B16" s="379"/>
      <c r="C16" s="249" t="s">
        <v>268</v>
      </c>
      <c r="D16" s="230">
        <v>2</v>
      </c>
      <c r="E16" s="230" t="s">
        <v>265</v>
      </c>
      <c r="F16" s="231">
        <f t="shared" si="0"/>
        <v>0.20661157024793389</v>
      </c>
      <c r="G16" s="229" t="s">
        <v>283</v>
      </c>
      <c r="H16" s="232">
        <f t="shared" si="1"/>
        <v>11.65</v>
      </c>
      <c r="I16" s="233">
        <f t="shared" si="2"/>
        <v>0.20661157024793389</v>
      </c>
      <c r="J16" s="230" t="str">
        <f t="shared" si="3"/>
        <v>Lb</v>
      </c>
      <c r="K16" s="234">
        <f t="shared" si="4"/>
        <v>2.4070247933884299</v>
      </c>
      <c r="L16" s="230"/>
      <c r="M16" s="230"/>
      <c r="N16" s="235"/>
      <c r="O16" s="236">
        <f t="shared" ref="O16:O32" si="5">K16+N16</f>
        <v>2.4070247933884299</v>
      </c>
      <c r="R16" s="90" t="s">
        <v>268</v>
      </c>
      <c r="S16" t="s">
        <v>277</v>
      </c>
      <c r="T16">
        <v>3</v>
      </c>
      <c r="U16" s="13">
        <v>34.950000000000003</v>
      </c>
      <c r="V16" s="26">
        <f t="shared" ref="V16:V26" si="6">U16/T16</f>
        <v>11.65</v>
      </c>
      <c r="W16" s="8" t="s">
        <v>277</v>
      </c>
    </row>
    <row r="17" spans="1:23" x14ac:dyDescent="0.3">
      <c r="A17" s="369">
        <v>43213</v>
      </c>
      <c r="B17" s="376" t="s">
        <v>249</v>
      </c>
      <c r="C17" s="250" t="s">
        <v>251</v>
      </c>
      <c r="D17" s="204">
        <v>2</v>
      </c>
      <c r="E17" s="204" t="s">
        <v>265</v>
      </c>
      <c r="F17" s="205">
        <f t="shared" si="0"/>
        <v>0.20661157024793389</v>
      </c>
      <c r="G17" s="203" t="s">
        <v>283</v>
      </c>
      <c r="H17" s="206">
        <f t="shared" si="1"/>
        <v>9.2720000000000002</v>
      </c>
      <c r="I17" s="207">
        <f t="shared" si="2"/>
        <v>0.20661157024793389</v>
      </c>
      <c r="J17" s="208" t="str">
        <f t="shared" si="3"/>
        <v>Lb</v>
      </c>
      <c r="K17" s="209">
        <f t="shared" si="4"/>
        <v>1.9157024793388431</v>
      </c>
      <c r="L17" s="210"/>
      <c r="M17" s="210"/>
      <c r="N17" s="211"/>
      <c r="O17" s="212">
        <f t="shared" si="5"/>
        <v>1.9157024793388431</v>
      </c>
      <c r="R17" s="90" t="s">
        <v>269</v>
      </c>
      <c r="S17" t="s">
        <v>276</v>
      </c>
      <c r="T17">
        <v>32</v>
      </c>
      <c r="U17" s="13">
        <v>59.99</v>
      </c>
      <c r="V17" s="26">
        <f t="shared" si="6"/>
        <v>1.8746875000000001</v>
      </c>
      <c r="W17" s="8" t="s">
        <v>276</v>
      </c>
    </row>
    <row r="18" spans="1:23" x14ac:dyDescent="0.3">
      <c r="A18" s="370"/>
      <c r="B18" s="377"/>
      <c r="C18" s="251" t="s">
        <v>252</v>
      </c>
      <c r="D18" s="196">
        <v>5</v>
      </c>
      <c r="E18" s="196" t="s">
        <v>264</v>
      </c>
      <c r="F18" s="213">
        <f t="shared" si="0"/>
        <v>0.51652892561983477</v>
      </c>
      <c r="G18" s="198" t="s">
        <v>282</v>
      </c>
      <c r="H18" s="214">
        <f t="shared" si="1"/>
        <v>76.95</v>
      </c>
      <c r="I18" s="215">
        <f t="shared" si="2"/>
        <v>3.2283057851239673E-2</v>
      </c>
      <c r="J18" s="196" t="str">
        <f t="shared" si="3"/>
        <v>Lb</v>
      </c>
      <c r="K18" s="216">
        <f t="shared" si="4"/>
        <v>2.4841813016528929</v>
      </c>
      <c r="L18" s="196"/>
      <c r="M18" s="196"/>
      <c r="N18" s="217"/>
      <c r="O18" s="218">
        <f t="shared" si="5"/>
        <v>2.4841813016528929</v>
      </c>
      <c r="R18" s="90" t="s">
        <v>270</v>
      </c>
      <c r="S18" t="s">
        <v>277</v>
      </c>
      <c r="T18">
        <v>1</v>
      </c>
      <c r="U18" s="13">
        <v>109.95</v>
      </c>
      <c r="V18" s="26">
        <f t="shared" si="6"/>
        <v>109.95</v>
      </c>
      <c r="W18" s="8" t="s">
        <v>277</v>
      </c>
    </row>
    <row r="19" spans="1:23" x14ac:dyDescent="0.3">
      <c r="A19" s="371">
        <v>43229</v>
      </c>
      <c r="B19" s="378" t="s">
        <v>249</v>
      </c>
      <c r="C19" s="248" t="s">
        <v>268</v>
      </c>
      <c r="D19" s="220">
        <v>2</v>
      </c>
      <c r="E19" s="220" t="s">
        <v>265</v>
      </c>
      <c r="F19" s="221">
        <f t="shared" si="0"/>
        <v>0.20661157024793389</v>
      </c>
      <c r="G19" s="219" t="s">
        <v>283</v>
      </c>
      <c r="H19" s="222">
        <f t="shared" si="1"/>
        <v>11.65</v>
      </c>
      <c r="I19" s="223">
        <f t="shared" si="2"/>
        <v>0.20661157024793389</v>
      </c>
      <c r="J19" s="224" t="str">
        <f t="shared" si="3"/>
        <v>Lb</v>
      </c>
      <c r="K19" s="225">
        <f t="shared" si="4"/>
        <v>2.4070247933884299</v>
      </c>
      <c r="L19" s="226"/>
      <c r="M19" s="226"/>
      <c r="N19" s="227"/>
      <c r="O19" s="228">
        <f t="shared" si="5"/>
        <v>2.4070247933884299</v>
      </c>
      <c r="R19" s="90" t="s">
        <v>259</v>
      </c>
      <c r="S19" t="s">
        <v>278</v>
      </c>
      <c r="T19">
        <v>1</v>
      </c>
      <c r="U19" s="13">
        <v>16.95</v>
      </c>
      <c r="V19" s="26">
        <f t="shared" si="6"/>
        <v>16.95</v>
      </c>
      <c r="W19" s="8" t="s">
        <v>278</v>
      </c>
    </row>
    <row r="20" spans="1:23" x14ac:dyDescent="0.3">
      <c r="A20" s="373"/>
      <c r="B20" s="379"/>
      <c r="C20" s="249" t="s">
        <v>252</v>
      </c>
      <c r="D20" s="230">
        <v>5</v>
      </c>
      <c r="E20" s="230" t="s">
        <v>264</v>
      </c>
      <c r="F20" s="231">
        <f t="shared" si="0"/>
        <v>0.51652892561983477</v>
      </c>
      <c r="G20" s="229" t="s">
        <v>282</v>
      </c>
      <c r="H20" s="232">
        <f t="shared" si="1"/>
        <v>76.95</v>
      </c>
      <c r="I20" s="233">
        <f t="shared" si="2"/>
        <v>3.2283057851239673E-2</v>
      </c>
      <c r="J20" s="230" t="str">
        <f t="shared" si="3"/>
        <v>Lb</v>
      </c>
      <c r="K20" s="234">
        <f t="shared" si="4"/>
        <v>2.4841813016528929</v>
      </c>
      <c r="L20" s="230"/>
      <c r="M20" s="230"/>
      <c r="N20" s="235"/>
      <c r="O20" s="236">
        <f t="shared" si="5"/>
        <v>2.4841813016528929</v>
      </c>
      <c r="R20" s="90" t="s">
        <v>298</v>
      </c>
      <c r="S20" t="s">
        <v>278</v>
      </c>
      <c r="T20">
        <v>1</v>
      </c>
      <c r="U20" s="13">
        <v>16.95</v>
      </c>
      <c r="V20" s="26">
        <f t="shared" si="6"/>
        <v>16.95</v>
      </c>
      <c r="W20" s="8" t="s">
        <v>278</v>
      </c>
    </row>
    <row r="21" spans="1:23" x14ac:dyDescent="0.3">
      <c r="A21" s="369">
        <v>43242</v>
      </c>
      <c r="B21" s="376" t="s">
        <v>253</v>
      </c>
      <c r="C21" s="250" t="s">
        <v>250</v>
      </c>
      <c r="D21" s="204">
        <v>23</v>
      </c>
      <c r="E21" s="204" t="s">
        <v>264</v>
      </c>
      <c r="F21" s="205">
        <f t="shared" si="0"/>
        <v>2.3760330578512399</v>
      </c>
      <c r="G21" s="203" t="s">
        <v>282</v>
      </c>
      <c r="H21" s="206">
        <f t="shared" si="1"/>
        <v>52.66</v>
      </c>
      <c r="I21" s="207">
        <f t="shared" si="2"/>
        <v>0.14850206611570249</v>
      </c>
      <c r="J21" s="208" t="str">
        <f t="shared" si="3"/>
        <v>Lb</v>
      </c>
      <c r="K21" s="209">
        <f t="shared" si="4"/>
        <v>7.8201188016528924</v>
      </c>
      <c r="L21" s="210"/>
      <c r="M21" s="210"/>
      <c r="N21" s="211"/>
      <c r="O21" s="212">
        <f t="shared" si="5"/>
        <v>7.8201188016528924</v>
      </c>
      <c r="R21" s="90" t="s">
        <v>254</v>
      </c>
      <c r="S21" t="s">
        <v>279</v>
      </c>
      <c r="T21">
        <v>1</v>
      </c>
      <c r="U21" s="13">
        <v>145.94999999999999</v>
      </c>
      <c r="V21" s="26">
        <f t="shared" si="6"/>
        <v>145.94999999999999</v>
      </c>
      <c r="W21" s="8" t="s">
        <v>279</v>
      </c>
    </row>
    <row r="22" spans="1:23" x14ac:dyDescent="0.3">
      <c r="A22" s="370"/>
      <c r="B22" s="377"/>
      <c r="C22" s="251" t="s">
        <v>254</v>
      </c>
      <c r="D22" s="196">
        <v>4</v>
      </c>
      <c r="E22" s="196" t="s">
        <v>264</v>
      </c>
      <c r="F22" s="213">
        <f t="shared" si="0"/>
        <v>0.41322314049586778</v>
      </c>
      <c r="G22" s="198" t="s">
        <v>282</v>
      </c>
      <c r="H22" s="214">
        <f t="shared" si="1"/>
        <v>145.94999999999999</v>
      </c>
      <c r="I22" s="215">
        <f t="shared" si="2"/>
        <v>3.228305785123967E-3</v>
      </c>
      <c r="J22" s="196" t="str">
        <f t="shared" si="3"/>
        <v>Gal</v>
      </c>
      <c r="K22" s="216">
        <f t="shared" si="4"/>
        <v>0.47117122933884298</v>
      </c>
      <c r="L22" s="196"/>
      <c r="M22" s="196"/>
      <c r="N22" s="217"/>
      <c r="O22" s="218">
        <f t="shared" si="5"/>
        <v>0.47117122933884298</v>
      </c>
      <c r="R22" s="90" t="s">
        <v>252</v>
      </c>
      <c r="S22" t="s">
        <v>277</v>
      </c>
      <c r="T22">
        <v>1</v>
      </c>
      <c r="U22" s="13">
        <v>76.95</v>
      </c>
      <c r="V22" s="26">
        <f t="shared" si="6"/>
        <v>76.95</v>
      </c>
      <c r="W22" s="8" t="s">
        <v>277</v>
      </c>
    </row>
    <row r="23" spans="1:23" x14ac:dyDescent="0.3">
      <c r="A23" s="371">
        <v>43259</v>
      </c>
      <c r="B23" s="378" t="s">
        <v>253</v>
      </c>
      <c r="C23" s="248" t="s">
        <v>251</v>
      </c>
      <c r="D23" s="220">
        <v>2</v>
      </c>
      <c r="E23" s="220" t="s">
        <v>265</v>
      </c>
      <c r="F23" s="221">
        <f t="shared" si="0"/>
        <v>0.20661157024793389</v>
      </c>
      <c r="G23" s="219" t="s">
        <v>283</v>
      </c>
      <c r="H23" s="222">
        <f t="shared" si="1"/>
        <v>9.2720000000000002</v>
      </c>
      <c r="I23" s="223">
        <f t="shared" si="2"/>
        <v>0.20661157024793389</v>
      </c>
      <c r="J23" s="224" t="str">
        <f t="shared" si="3"/>
        <v>Lb</v>
      </c>
      <c r="K23" s="225">
        <f t="shared" si="4"/>
        <v>1.9157024793388431</v>
      </c>
      <c r="L23" s="226"/>
      <c r="M23" s="226"/>
      <c r="N23" s="227"/>
      <c r="O23" s="228">
        <f t="shared" si="5"/>
        <v>1.9157024793388431</v>
      </c>
      <c r="R23" s="90" t="s">
        <v>250</v>
      </c>
      <c r="S23" t="s">
        <v>277</v>
      </c>
      <c r="T23">
        <v>7.5</v>
      </c>
      <c r="U23" s="13">
        <v>394.95</v>
      </c>
      <c r="V23" s="26">
        <f t="shared" si="6"/>
        <v>52.66</v>
      </c>
      <c r="W23" s="8" t="s">
        <v>277</v>
      </c>
    </row>
    <row r="24" spans="1:23" x14ac:dyDescent="0.3">
      <c r="A24" s="372"/>
      <c r="B24" s="385"/>
      <c r="C24" s="252" t="s">
        <v>252</v>
      </c>
      <c r="D24" s="224">
        <v>5</v>
      </c>
      <c r="E24" s="224" t="s">
        <v>264</v>
      </c>
      <c r="F24" s="221">
        <f t="shared" si="0"/>
        <v>0.51652892561983477</v>
      </c>
      <c r="G24" s="237" t="s">
        <v>282</v>
      </c>
      <c r="H24" s="222">
        <f t="shared" si="1"/>
        <v>76.95</v>
      </c>
      <c r="I24" s="223">
        <f t="shared" si="2"/>
        <v>3.2283057851239673E-2</v>
      </c>
      <c r="J24" s="224" t="str">
        <f t="shared" si="3"/>
        <v>Lb</v>
      </c>
      <c r="K24" s="225">
        <f t="shared" si="4"/>
        <v>2.4841813016528929</v>
      </c>
      <c r="L24" s="226"/>
      <c r="M24" s="226"/>
      <c r="N24" s="227"/>
      <c r="O24" s="228">
        <f t="shared" si="5"/>
        <v>2.4841813016528929</v>
      </c>
      <c r="R24" s="90" t="s">
        <v>251</v>
      </c>
      <c r="S24" t="s">
        <v>277</v>
      </c>
      <c r="T24">
        <v>6.25</v>
      </c>
      <c r="U24" s="13">
        <v>57.95</v>
      </c>
      <c r="V24" s="26">
        <f t="shared" si="6"/>
        <v>9.2720000000000002</v>
      </c>
      <c r="W24" s="8" t="s">
        <v>277</v>
      </c>
    </row>
    <row r="25" spans="1:23" x14ac:dyDescent="0.3">
      <c r="A25" s="373"/>
      <c r="B25" s="379"/>
      <c r="C25" s="249" t="s">
        <v>254</v>
      </c>
      <c r="D25" s="230">
        <v>4</v>
      </c>
      <c r="E25" s="230" t="s">
        <v>264</v>
      </c>
      <c r="F25" s="231">
        <f t="shared" si="0"/>
        <v>0.41322314049586778</v>
      </c>
      <c r="G25" s="229" t="s">
        <v>282</v>
      </c>
      <c r="H25" s="232">
        <f t="shared" si="1"/>
        <v>145.94999999999999</v>
      </c>
      <c r="I25" s="233">
        <f t="shared" si="2"/>
        <v>3.228305785123967E-3</v>
      </c>
      <c r="J25" s="230" t="str">
        <f t="shared" si="3"/>
        <v>Gal</v>
      </c>
      <c r="K25" s="234">
        <f t="shared" si="4"/>
        <v>0.47117122933884298</v>
      </c>
      <c r="L25" s="230"/>
      <c r="M25" s="230"/>
      <c r="N25" s="235"/>
      <c r="O25" s="236">
        <f t="shared" si="5"/>
        <v>0.47117122933884298</v>
      </c>
      <c r="R25" s="90" t="s">
        <v>257</v>
      </c>
      <c r="S25" t="s">
        <v>276</v>
      </c>
      <c r="T25">
        <v>3</v>
      </c>
      <c r="U25" s="13">
        <v>250</v>
      </c>
      <c r="V25" s="26">
        <f t="shared" si="6"/>
        <v>83.333333333333329</v>
      </c>
      <c r="W25" s="8" t="s">
        <v>276</v>
      </c>
    </row>
    <row r="26" spans="1:23" x14ac:dyDescent="0.3">
      <c r="A26" s="374">
        <v>43271</v>
      </c>
      <c r="B26" s="376" t="s">
        <v>255</v>
      </c>
      <c r="C26" s="250" t="s">
        <v>250</v>
      </c>
      <c r="D26" s="204">
        <v>23</v>
      </c>
      <c r="E26" s="204" t="s">
        <v>264</v>
      </c>
      <c r="F26" s="205">
        <f t="shared" si="0"/>
        <v>2.3760330578512399</v>
      </c>
      <c r="G26" s="203" t="s">
        <v>282</v>
      </c>
      <c r="H26" s="206">
        <f t="shared" si="1"/>
        <v>52.66</v>
      </c>
      <c r="I26" s="207">
        <f t="shared" si="2"/>
        <v>0.14850206611570249</v>
      </c>
      <c r="J26" s="208" t="str">
        <f t="shared" si="3"/>
        <v>Lb</v>
      </c>
      <c r="K26" s="209">
        <f t="shared" si="4"/>
        <v>7.8201188016528924</v>
      </c>
      <c r="L26" s="210"/>
      <c r="M26" s="210"/>
      <c r="N26" s="211"/>
      <c r="O26" s="212">
        <f t="shared" si="5"/>
        <v>7.8201188016528924</v>
      </c>
      <c r="R26" s="90" t="s">
        <v>260</v>
      </c>
      <c r="S26" t="s">
        <v>279</v>
      </c>
      <c r="T26">
        <v>1</v>
      </c>
      <c r="U26" s="13">
        <v>49.5</v>
      </c>
      <c r="V26" s="26">
        <f t="shared" si="6"/>
        <v>49.5</v>
      </c>
      <c r="W26" s="8" t="s">
        <v>279</v>
      </c>
    </row>
    <row r="27" spans="1:23" x14ac:dyDescent="0.3">
      <c r="A27" s="375"/>
      <c r="B27" s="377"/>
      <c r="C27" s="251" t="s">
        <v>254</v>
      </c>
      <c r="D27" s="196">
        <v>4</v>
      </c>
      <c r="E27" s="196" t="s">
        <v>264</v>
      </c>
      <c r="F27" s="213">
        <f t="shared" si="0"/>
        <v>0.41322314049586778</v>
      </c>
      <c r="G27" s="198" t="s">
        <v>282</v>
      </c>
      <c r="H27" s="214">
        <f t="shared" si="1"/>
        <v>145.94999999999999</v>
      </c>
      <c r="I27" s="215">
        <f t="shared" si="2"/>
        <v>3.228305785123967E-3</v>
      </c>
      <c r="J27" s="196" t="str">
        <f t="shared" si="3"/>
        <v>Gal</v>
      </c>
      <c r="K27" s="216">
        <f t="shared" si="4"/>
        <v>0.47117122933884298</v>
      </c>
      <c r="L27" s="196"/>
      <c r="M27" s="196"/>
      <c r="N27" s="217"/>
      <c r="O27" s="218">
        <f t="shared" si="5"/>
        <v>0.47117122933884298</v>
      </c>
      <c r="R27" s="90" t="s">
        <v>262</v>
      </c>
      <c r="U27" s="8"/>
      <c r="W27" s="8"/>
    </row>
    <row r="28" spans="1:23" x14ac:dyDescent="0.3">
      <c r="A28" s="238">
        <v>43284</v>
      </c>
      <c r="B28" s="239" t="s">
        <v>256</v>
      </c>
      <c r="C28" s="253" t="s">
        <v>257</v>
      </c>
      <c r="D28" s="241">
        <v>3</v>
      </c>
      <c r="E28" s="241" t="s">
        <v>264</v>
      </c>
      <c r="F28" s="231">
        <f t="shared" si="0"/>
        <v>0.30991735537190085</v>
      </c>
      <c r="G28" s="240" t="s">
        <v>282</v>
      </c>
      <c r="H28" s="242">
        <f t="shared" si="1"/>
        <v>83.333333333333329</v>
      </c>
      <c r="I28" s="243">
        <f t="shared" si="2"/>
        <v>0.30991735537190085</v>
      </c>
      <c r="J28" s="241" t="str">
        <f t="shared" si="3"/>
        <v>Oz</v>
      </c>
      <c r="K28" s="244">
        <f t="shared" si="4"/>
        <v>25.826446280991735</v>
      </c>
      <c r="L28" s="241"/>
      <c r="M28" s="241"/>
      <c r="N28" s="245"/>
      <c r="O28" s="246">
        <f t="shared" si="5"/>
        <v>25.826446280991735</v>
      </c>
      <c r="R28" s="110" t="s">
        <v>261</v>
      </c>
      <c r="S28" s="2"/>
      <c r="T28" s="2"/>
      <c r="U28" s="7"/>
      <c r="V28" s="2"/>
      <c r="W28" s="7"/>
    </row>
    <row r="29" spans="1:23" x14ac:dyDescent="0.3">
      <c r="A29" s="374">
        <v>43299</v>
      </c>
      <c r="B29" s="376" t="s">
        <v>258</v>
      </c>
      <c r="C29" s="250" t="s">
        <v>298</v>
      </c>
      <c r="D29" s="204">
        <v>2.56</v>
      </c>
      <c r="E29" s="204" t="s">
        <v>284</v>
      </c>
      <c r="F29" s="205">
        <f t="shared" si="0"/>
        <v>0.26446280991735538</v>
      </c>
      <c r="G29" s="203" t="s">
        <v>284</v>
      </c>
      <c r="H29" s="206">
        <f t="shared" si="1"/>
        <v>16.95</v>
      </c>
      <c r="I29" s="207">
        <f t="shared" si="2"/>
        <v>7.8211039781556566E-3</v>
      </c>
      <c r="J29" s="208" t="s">
        <v>382</v>
      </c>
      <c r="K29" s="209">
        <f t="shared" si="4"/>
        <v>0.13256771242973836</v>
      </c>
      <c r="L29" s="210"/>
      <c r="M29" s="210"/>
      <c r="N29" s="211"/>
      <c r="O29" s="212">
        <f t="shared" si="5"/>
        <v>0.13256771242973836</v>
      </c>
    </row>
    <row r="30" spans="1:23" x14ac:dyDescent="0.3">
      <c r="A30" s="375"/>
      <c r="B30" s="377"/>
      <c r="C30" s="251" t="s">
        <v>260</v>
      </c>
      <c r="D30" s="196">
        <v>16</v>
      </c>
      <c r="E30" s="196" t="s">
        <v>264</v>
      </c>
      <c r="F30" s="213">
        <f t="shared" si="0"/>
        <v>1.6528925619834711</v>
      </c>
      <c r="G30" s="198" t="s">
        <v>282</v>
      </c>
      <c r="H30" s="214">
        <f t="shared" si="1"/>
        <v>49.5</v>
      </c>
      <c r="I30" s="215">
        <f t="shared" si="2"/>
        <v>1.2913223140495868E-2</v>
      </c>
      <c r="J30" s="196" t="str">
        <f t="shared" si="3"/>
        <v>Gal</v>
      </c>
      <c r="K30" s="216">
        <f t="shared" si="4"/>
        <v>0.63920454545454553</v>
      </c>
      <c r="L30" s="196"/>
      <c r="M30" s="196"/>
      <c r="N30" s="217"/>
      <c r="O30" s="218">
        <f t="shared" si="5"/>
        <v>0.63920454545454553</v>
      </c>
    </row>
    <row r="31" spans="1:23" x14ac:dyDescent="0.3">
      <c r="A31" s="357">
        <v>43328</v>
      </c>
      <c r="B31" s="378" t="s">
        <v>258</v>
      </c>
      <c r="C31" s="248" t="s">
        <v>251</v>
      </c>
      <c r="D31" s="220">
        <v>2</v>
      </c>
      <c r="E31" s="220" t="s">
        <v>265</v>
      </c>
      <c r="F31" s="221">
        <f t="shared" si="0"/>
        <v>0.20661157024793389</v>
      </c>
      <c r="G31" s="219" t="s">
        <v>283</v>
      </c>
      <c r="H31" s="222">
        <f t="shared" si="1"/>
        <v>9.2720000000000002</v>
      </c>
      <c r="I31" s="223">
        <f t="shared" si="2"/>
        <v>0.20661157024793389</v>
      </c>
      <c r="J31" s="224" t="str">
        <f t="shared" si="3"/>
        <v>Lb</v>
      </c>
      <c r="K31" s="225">
        <f t="shared" si="4"/>
        <v>1.9157024793388431</v>
      </c>
      <c r="L31" s="226"/>
      <c r="M31" s="226"/>
      <c r="N31" s="227"/>
      <c r="O31" s="228">
        <f t="shared" si="5"/>
        <v>1.9157024793388431</v>
      </c>
      <c r="R31" s="314" t="s">
        <v>263</v>
      </c>
      <c r="S31" s="344"/>
      <c r="T31" s="344"/>
      <c r="U31" s="344"/>
      <c r="V31" s="344"/>
      <c r="W31" s="315"/>
    </row>
    <row r="32" spans="1:23" x14ac:dyDescent="0.3">
      <c r="A32" s="358"/>
      <c r="B32" s="379"/>
      <c r="C32" s="249" t="s">
        <v>252</v>
      </c>
      <c r="D32" s="230">
        <v>5</v>
      </c>
      <c r="E32" s="230" t="s">
        <v>264</v>
      </c>
      <c r="F32" s="231">
        <f t="shared" si="0"/>
        <v>0.51652892561983477</v>
      </c>
      <c r="G32" s="229" t="s">
        <v>282</v>
      </c>
      <c r="H32" s="232">
        <f t="shared" si="1"/>
        <v>76.95</v>
      </c>
      <c r="I32" s="233">
        <f t="shared" si="2"/>
        <v>3.2283057851239673E-2</v>
      </c>
      <c r="J32" s="230" t="str">
        <f t="shared" si="3"/>
        <v>Lb</v>
      </c>
      <c r="K32" s="234">
        <f t="shared" si="4"/>
        <v>2.4841813016528929</v>
      </c>
      <c r="L32" s="230"/>
      <c r="M32" s="230"/>
      <c r="N32" s="235"/>
      <c r="O32" s="236">
        <f t="shared" si="5"/>
        <v>2.4841813016528929</v>
      </c>
      <c r="R32" s="64" t="s">
        <v>271</v>
      </c>
      <c r="S32" s="10" t="s">
        <v>287</v>
      </c>
      <c r="T32" s="161" t="s">
        <v>286</v>
      </c>
      <c r="U32" s="159" t="s">
        <v>34</v>
      </c>
      <c r="V32" s="159" t="s">
        <v>286</v>
      </c>
      <c r="W32" s="160" t="s">
        <v>34</v>
      </c>
    </row>
    <row r="33" spans="1:24" ht="16.95" customHeight="1" thickBot="1" x14ac:dyDescent="0.35">
      <c r="A33" s="255" t="s">
        <v>364</v>
      </c>
      <c r="B33" s="256"/>
      <c r="C33" s="255"/>
      <c r="D33" s="256"/>
      <c r="E33" s="256"/>
      <c r="F33" s="256"/>
      <c r="G33" s="255"/>
      <c r="H33" s="256"/>
      <c r="I33" s="256"/>
      <c r="J33" s="256"/>
      <c r="K33" s="258">
        <f>SUM(K14:K32)</f>
        <v>73.72968925933823</v>
      </c>
      <c r="L33" s="256"/>
      <c r="M33" s="256"/>
      <c r="N33" s="259"/>
      <c r="O33" s="260">
        <f>N33+K33</f>
        <v>73.72968925933823</v>
      </c>
      <c r="P33" s="191" t="s">
        <v>370</v>
      </c>
      <c r="R33" s="5" t="s">
        <v>267</v>
      </c>
      <c r="S33" s="18" t="s">
        <v>288</v>
      </c>
      <c r="T33" s="162">
        <f>1/128</f>
        <v>7.8125E-3</v>
      </c>
      <c r="U33" s="162" t="s">
        <v>294</v>
      </c>
      <c r="V33" s="3">
        <v>1</v>
      </c>
      <c r="W33" s="3" t="s">
        <v>276</v>
      </c>
      <c r="X33" s="5"/>
    </row>
    <row r="34" spans="1:24" ht="16.2" thickTop="1" x14ac:dyDescent="0.3">
      <c r="A34" s="138" t="s">
        <v>371</v>
      </c>
      <c r="B34" s="1" t="s">
        <v>366</v>
      </c>
      <c r="C34" s="9" t="s">
        <v>359</v>
      </c>
      <c r="D34" s="1" t="s">
        <v>266</v>
      </c>
      <c r="E34" s="1" t="s">
        <v>34</v>
      </c>
      <c r="F34" s="1" t="s">
        <v>368</v>
      </c>
      <c r="G34" s="9" t="s">
        <v>34</v>
      </c>
      <c r="H34" s="1" t="s">
        <v>362</v>
      </c>
      <c r="I34" s="1" t="s">
        <v>5</v>
      </c>
      <c r="J34" s="1" t="s">
        <v>34</v>
      </c>
      <c r="K34" s="9" t="s">
        <v>360</v>
      </c>
      <c r="L34" s="1" t="s">
        <v>361</v>
      </c>
      <c r="M34" s="1" t="s">
        <v>363</v>
      </c>
      <c r="N34" s="142" t="s">
        <v>303</v>
      </c>
      <c r="O34" s="9" t="s">
        <v>230</v>
      </c>
      <c r="R34" s="5" t="s">
        <v>268</v>
      </c>
      <c r="S34" s="8" t="s">
        <v>290</v>
      </c>
      <c r="T34" s="162">
        <v>1</v>
      </c>
      <c r="U34" s="162" t="s">
        <v>295</v>
      </c>
      <c r="V34" s="3">
        <v>1</v>
      </c>
      <c r="W34" s="3" t="s">
        <v>277</v>
      </c>
      <c r="X34" s="5"/>
    </row>
    <row r="35" spans="1:24" x14ac:dyDescent="0.3">
      <c r="A35" s="134" t="s">
        <v>311</v>
      </c>
      <c r="B35" s="130"/>
      <c r="C35" s="130"/>
      <c r="D35" s="5"/>
      <c r="H35" s="5"/>
      <c r="L35" s="145">
        <f>ROUNDUP(($B$4/'Labor Reference'!$B$4)*'Labor Reference'!M10,0)*(40/54)</f>
        <v>35.555555555555557</v>
      </c>
      <c r="M35" s="26">
        <f>'Insert Dimensions &amp; Rates'!$C$25</f>
        <v>10</v>
      </c>
      <c r="N35" s="26">
        <f>M35*L35</f>
        <v>355.55555555555554</v>
      </c>
      <c r="O35" s="146">
        <f t="shared" ref="O35:O47" si="7">N35</f>
        <v>355.55555555555554</v>
      </c>
      <c r="P35" s="5"/>
      <c r="R35" s="5" t="s">
        <v>269</v>
      </c>
      <c r="S35" s="30"/>
      <c r="T35" s="19"/>
      <c r="U35" s="19"/>
      <c r="V35" s="19"/>
      <c r="W35" s="19"/>
      <c r="X35" s="5"/>
    </row>
    <row r="36" spans="1:24" x14ac:dyDescent="0.3">
      <c r="A36" s="135" t="s">
        <v>312</v>
      </c>
      <c r="B36" s="130"/>
      <c r="C36" s="130"/>
      <c r="D36" s="5"/>
      <c r="H36" s="5"/>
      <c r="L36" s="145">
        <f>ROUNDUP(($B$4/'Labor Reference'!$B$4)*'Labor Reference'!M11,0)</f>
        <v>17</v>
      </c>
      <c r="M36" s="26">
        <f>'Insert Dimensions &amp; Rates'!$C$25</f>
        <v>10</v>
      </c>
      <c r="N36" s="26">
        <f t="shared" ref="N36:N47" si="8">M36*L36</f>
        <v>170</v>
      </c>
      <c r="O36" s="146">
        <f t="shared" si="7"/>
        <v>170</v>
      </c>
      <c r="P36" s="5"/>
      <c r="R36" s="5" t="s">
        <v>270</v>
      </c>
      <c r="S36" s="30"/>
      <c r="T36" s="19"/>
      <c r="U36" s="19"/>
      <c r="V36" s="19"/>
      <c r="W36" s="19"/>
      <c r="X36" s="5"/>
    </row>
    <row r="37" spans="1:24" x14ac:dyDescent="0.3">
      <c r="A37" s="135" t="s">
        <v>327</v>
      </c>
      <c r="B37" s="130"/>
      <c r="C37" s="130"/>
      <c r="D37" s="5"/>
      <c r="H37" s="5"/>
      <c r="L37" s="145">
        <f>ROUNDUP(($B$4/'Labor Reference'!$B$4)*'Labor Reference'!M12,0)</f>
        <v>32</v>
      </c>
      <c r="M37" s="26">
        <f>'Insert Dimensions &amp; Rates'!$C$25</f>
        <v>10</v>
      </c>
      <c r="N37" s="26">
        <f t="shared" si="8"/>
        <v>320</v>
      </c>
      <c r="O37" s="146">
        <f t="shared" si="7"/>
        <v>320</v>
      </c>
      <c r="P37" s="5"/>
      <c r="R37" s="5" t="s">
        <v>259</v>
      </c>
      <c r="S37" s="30" t="s">
        <v>293</v>
      </c>
      <c r="T37" s="117">
        <f>1/3.785</f>
        <v>0.26420079260237778</v>
      </c>
      <c r="U37" s="114" t="s">
        <v>294</v>
      </c>
      <c r="V37" s="19">
        <v>1</v>
      </c>
      <c r="W37" s="19" t="s">
        <v>278</v>
      </c>
      <c r="X37" s="5"/>
    </row>
    <row r="38" spans="1:24" x14ac:dyDescent="0.3">
      <c r="A38" s="135" t="s">
        <v>317</v>
      </c>
      <c r="B38" s="130"/>
      <c r="C38" s="130"/>
      <c r="D38" s="5"/>
      <c r="H38" s="5"/>
      <c r="L38" s="145">
        <f>ROUNDUP(($B$4/'Labor Reference'!$B$4)*'Labor Reference'!M13,0)</f>
        <v>25</v>
      </c>
      <c r="M38" s="26">
        <f>'Insert Dimensions &amp; Rates'!$C$25</f>
        <v>10</v>
      </c>
      <c r="N38" s="26">
        <f t="shared" si="8"/>
        <v>250</v>
      </c>
      <c r="O38" s="146">
        <f t="shared" si="7"/>
        <v>250</v>
      </c>
      <c r="P38" s="5"/>
      <c r="R38" s="5" t="s">
        <v>254</v>
      </c>
      <c r="S38" s="30" t="s">
        <v>280</v>
      </c>
      <c r="T38" s="114">
        <v>128</v>
      </c>
      <c r="U38" s="114" t="s">
        <v>296</v>
      </c>
      <c r="V38" s="19">
        <v>1</v>
      </c>
      <c r="W38" s="19" t="s">
        <v>279</v>
      </c>
      <c r="X38" s="5"/>
    </row>
    <row r="39" spans="1:24" x14ac:dyDescent="0.3">
      <c r="A39" s="135" t="s">
        <v>315</v>
      </c>
      <c r="B39" s="130"/>
      <c r="C39" s="130"/>
      <c r="D39" s="5"/>
      <c r="H39" s="5"/>
      <c r="L39" s="145">
        <f>ROUNDUP(($B$4/'Labor Reference'!$B$4)*'Labor Reference'!M14,0)</f>
        <v>13</v>
      </c>
      <c r="M39" s="26">
        <f>'Insert Dimensions &amp; Rates'!$C$25</f>
        <v>10</v>
      </c>
      <c r="N39" s="26">
        <f t="shared" si="8"/>
        <v>130</v>
      </c>
      <c r="O39" s="146">
        <f t="shared" si="7"/>
        <v>130</v>
      </c>
      <c r="P39" s="5"/>
      <c r="R39" s="5" t="s">
        <v>252</v>
      </c>
      <c r="S39" s="30" t="s">
        <v>289</v>
      </c>
      <c r="T39" s="115">
        <v>16</v>
      </c>
      <c r="U39" s="114" t="s">
        <v>296</v>
      </c>
      <c r="V39" s="19">
        <v>1</v>
      </c>
      <c r="W39" s="19" t="s">
        <v>277</v>
      </c>
      <c r="X39" s="5"/>
    </row>
    <row r="40" spans="1:24" x14ac:dyDescent="0.3">
      <c r="A40" s="135" t="s">
        <v>319</v>
      </c>
      <c r="B40" s="130"/>
      <c r="C40" s="130"/>
      <c r="D40" s="5"/>
      <c r="H40" s="5"/>
      <c r="L40" s="145">
        <f>ROUNDUP(($B$4/'Labor Reference'!$B$4)*'Labor Reference'!M15,0)*(AVERAGE('Insert Dimensions &amp; Rates'!J27:J28))</f>
        <v>27</v>
      </c>
      <c r="M40" s="26">
        <f>'Insert Dimensions &amp; Rates'!$C$25</f>
        <v>10</v>
      </c>
      <c r="N40" s="26">
        <f t="shared" si="8"/>
        <v>270</v>
      </c>
      <c r="O40" s="146">
        <f t="shared" si="7"/>
        <v>270</v>
      </c>
      <c r="P40" s="5"/>
      <c r="R40" s="5" t="s">
        <v>250</v>
      </c>
      <c r="S40" s="30" t="s">
        <v>289</v>
      </c>
      <c r="T40" s="115">
        <v>16</v>
      </c>
      <c r="U40" s="114" t="s">
        <v>296</v>
      </c>
      <c r="V40" s="19">
        <v>1</v>
      </c>
      <c r="W40" s="19" t="s">
        <v>277</v>
      </c>
      <c r="X40" s="5"/>
    </row>
    <row r="41" spans="1:24" x14ac:dyDescent="0.3">
      <c r="A41" s="135" t="s">
        <v>313</v>
      </c>
      <c r="B41" s="130"/>
      <c r="C41" s="130"/>
      <c r="D41" s="5"/>
      <c r="H41" s="5"/>
      <c r="L41" s="145">
        <f>ROUNDUP(($B$4/'Labor Reference'!$B$4)*'Labor Reference'!M16,0)</f>
        <v>1</v>
      </c>
      <c r="M41" s="26">
        <f>'Insert Dimensions &amp; Rates'!$C$25</f>
        <v>10</v>
      </c>
      <c r="N41" s="26">
        <f t="shared" si="8"/>
        <v>10</v>
      </c>
      <c r="O41" s="146">
        <f t="shared" si="7"/>
        <v>10</v>
      </c>
      <c r="P41" s="5"/>
      <c r="R41" s="5" t="s">
        <v>251</v>
      </c>
      <c r="S41" s="30" t="s">
        <v>290</v>
      </c>
      <c r="T41" s="115">
        <v>1</v>
      </c>
      <c r="U41" s="114" t="s">
        <v>295</v>
      </c>
      <c r="V41" s="19">
        <v>1</v>
      </c>
      <c r="W41" s="19" t="s">
        <v>277</v>
      </c>
      <c r="X41" s="5"/>
    </row>
    <row r="42" spans="1:24" x14ac:dyDescent="0.3">
      <c r="A42" s="135" t="s">
        <v>314</v>
      </c>
      <c r="B42" s="130"/>
      <c r="C42" s="130"/>
      <c r="D42" s="5"/>
      <c r="H42" s="5"/>
      <c r="L42" s="145">
        <f>ROUNDUP(($B$4/'Labor Reference'!$B$4)*'Labor Reference'!M17,0)</f>
        <v>7</v>
      </c>
      <c r="M42" s="26">
        <f>'Insert Dimensions &amp; Rates'!$C$25</f>
        <v>10</v>
      </c>
      <c r="N42" s="26">
        <f t="shared" si="8"/>
        <v>70</v>
      </c>
      <c r="O42" s="146">
        <f t="shared" si="7"/>
        <v>70</v>
      </c>
      <c r="P42" s="5"/>
      <c r="R42" s="5" t="s">
        <v>257</v>
      </c>
      <c r="S42" s="30" t="s">
        <v>292</v>
      </c>
      <c r="T42" s="115">
        <v>1</v>
      </c>
      <c r="U42" s="114" t="s">
        <v>296</v>
      </c>
      <c r="V42" s="19">
        <v>1</v>
      </c>
      <c r="W42" s="19" t="s">
        <v>276</v>
      </c>
      <c r="X42" s="5"/>
    </row>
    <row r="43" spans="1:24" x14ac:dyDescent="0.3">
      <c r="A43" s="135" t="s">
        <v>416</v>
      </c>
      <c r="B43" s="130"/>
      <c r="C43" s="130"/>
      <c r="D43" s="5"/>
      <c r="H43" s="5"/>
      <c r="L43" s="145">
        <f>ROUNDUP(($B$4/'Labor Reference'!$B$4)*'Labor Reference'!M18,0)</f>
        <v>2</v>
      </c>
      <c r="M43" s="26">
        <f>'Insert Dimensions &amp; Rates'!$C$25</f>
        <v>10</v>
      </c>
      <c r="N43" s="26">
        <f t="shared" si="8"/>
        <v>20</v>
      </c>
      <c r="O43" s="146">
        <f t="shared" si="7"/>
        <v>20</v>
      </c>
      <c r="P43" s="5"/>
      <c r="R43" s="5" t="s">
        <v>260</v>
      </c>
      <c r="S43" s="30" t="s">
        <v>280</v>
      </c>
      <c r="T43" s="115">
        <v>128</v>
      </c>
      <c r="U43" s="114" t="s">
        <v>296</v>
      </c>
      <c r="V43" s="19">
        <v>1</v>
      </c>
      <c r="W43" s="19" t="s">
        <v>279</v>
      </c>
      <c r="X43" s="5"/>
    </row>
    <row r="44" spans="1:24" x14ac:dyDescent="0.3">
      <c r="A44" s="135" t="s">
        <v>304</v>
      </c>
      <c r="B44" s="130"/>
      <c r="C44" s="130"/>
      <c r="D44" s="5"/>
      <c r="E44" s="3"/>
      <c r="F44" s="3"/>
      <c r="G44" s="3"/>
      <c r="H44" s="5"/>
      <c r="I44" s="3"/>
      <c r="J44" s="3"/>
      <c r="K44" s="3"/>
      <c r="L44" s="145">
        <f>ROUNDUP(($B$4/'Labor Reference'!$B$4)*'Labor Reference'!M19,0)</f>
        <v>7</v>
      </c>
      <c r="M44" s="26">
        <f>'Insert Dimensions &amp; Rates'!$C$25</f>
        <v>10</v>
      </c>
      <c r="N44" s="26">
        <f t="shared" si="8"/>
        <v>70</v>
      </c>
      <c r="O44" s="146">
        <f t="shared" si="7"/>
        <v>70</v>
      </c>
      <c r="P44" s="5"/>
      <c r="R44" s="5" t="s">
        <v>298</v>
      </c>
      <c r="S44" s="30" t="s">
        <v>291</v>
      </c>
      <c r="T44" s="115">
        <v>33.814</v>
      </c>
      <c r="U44" s="114" t="s">
        <v>296</v>
      </c>
      <c r="V44" s="19">
        <v>1</v>
      </c>
      <c r="W44" s="19" t="s">
        <v>278</v>
      </c>
      <c r="X44" s="5"/>
    </row>
    <row r="45" spans="1:24" x14ac:dyDescent="0.3">
      <c r="A45" s="135" t="s">
        <v>320</v>
      </c>
      <c r="B45" s="130"/>
      <c r="C45" s="77"/>
      <c r="D45" s="3"/>
      <c r="E45" s="3"/>
      <c r="F45" s="3"/>
      <c r="G45" s="8"/>
      <c r="H45" s="3"/>
      <c r="I45" s="3"/>
      <c r="J45" s="3"/>
      <c r="K45" s="8"/>
      <c r="L45" s="145">
        <f>ROUNDUP(($B$4/'Labor Reference'!$B$4)*'Labor Reference'!M20,0)</f>
        <v>30</v>
      </c>
      <c r="M45" s="26">
        <f>'Insert Dimensions &amp; Rates'!$C$25</f>
        <v>10</v>
      </c>
      <c r="N45" s="26">
        <f t="shared" si="8"/>
        <v>300</v>
      </c>
      <c r="O45" s="146">
        <f t="shared" si="7"/>
        <v>300</v>
      </c>
      <c r="P45" s="5"/>
      <c r="R45" s="5" t="s">
        <v>262</v>
      </c>
      <c r="S45" s="30"/>
      <c r="T45" s="19"/>
      <c r="U45" s="19"/>
      <c r="V45" s="19"/>
      <c r="W45" s="19"/>
      <c r="X45" s="5"/>
    </row>
    <row r="46" spans="1:24" x14ac:dyDescent="0.3">
      <c r="A46" s="76" t="s">
        <v>375</v>
      </c>
      <c r="B46" s="76"/>
      <c r="C46" s="130" t="s">
        <v>378</v>
      </c>
      <c r="D46" s="5"/>
      <c r="E46" s="3"/>
      <c r="F46" s="3"/>
      <c r="G46" s="3"/>
      <c r="H46" s="144">
        <f>AVERAGE('Year 1 Cost'!H13:H14)</f>
        <v>9.7249999999999996</v>
      </c>
      <c r="I46" s="3">
        <f>ROUNDUP('Insert Dimensions &amp; Rates'!C30*'Insert Dimensions &amp; Rates'!C17,0)</f>
        <v>4</v>
      </c>
      <c r="J46" s="3"/>
      <c r="K46" s="14">
        <f>H46*I46</f>
        <v>38.9</v>
      </c>
      <c r="L46" s="145">
        <f>((8*I46)/60)*2</f>
        <v>1.0666666666666667</v>
      </c>
      <c r="M46" s="26">
        <f>'Insert Dimensions &amp; Rates'!$C$25</f>
        <v>10</v>
      </c>
      <c r="N46" s="26">
        <f>M46*L46</f>
        <v>10.666666666666666</v>
      </c>
      <c r="O46" s="146">
        <f t="shared" si="7"/>
        <v>10.666666666666666</v>
      </c>
      <c r="P46" s="5"/>
      <c r="R46" s="6" t="s">
        <v>261</v>
      </c>
      <c r="S46" s="31"/>
      <c r="T46" s="116"/>
      <c r="U46" s="116"/>
      <c r="V46" s="116"/>
      <c r="W46" s="31"/>
    </row>
    <row r="47" spans="1:24" x14ac:dyDescent="0.3">
      <c r="A47" s="130" t="s">
        <v>318</v>
      </c>
      <c r="B47" s="76"/>
      <c r="C47" s="130"/>
      <c r="D47" s="5"/>
      <c r="E47" s="3"/>
      <c r="F47" s="3"/>
      <c r="G47" s="3"/>
      <c r="H47" s="5"/>
      <c r="I47" s="3"/>
      <c r="J47" s="3"/>
      <c r="K47" s="3"/>
      <c r="L47" s="145">
        <f>ROUNDUP(($B$4/'Labor Reference'!$B$4)*'Labor Reference'!M23,0)</f>
        <v>31</v>
      </c>
      <c r="M47" s="26">
        <f>'Insert Dimensions &amp; Rates'!$C$25</f>
        <v>10</v>
      </c>
      <c r="N47" s="26">
        <f t="shared" si="8"/>
        <v>310</v>
      </c>
      <c r="O47" s="146">
        <f t="shared" si="7"/>
        <v>310</v>
      </c>
      <c r="P47" s="5"/>
    </row>
    <row r="48" spans="1:24" ht="16.2" thickBot="1" x14ac:dyDescent="0.35">
      <c r="A48" s="149" t="s">
        <v>364</v>
      </c>
      <c r="B48" s="123"/>
      <c r="C48" s="118"/>
      <c r="D48" s="123"/>
      <c r="E48" s="118"/>
      <c r="F48" s="118"/>
      <c r="G48" s="118"/>
      <c r="H48" s="123"/>
      <c r="I48" s="118"/>
      <c r="J48" s="118"/>
      <c r="K48" s="119"/>
      <c r="L48" s="152">
        <f>SUM(L35:L47)</f>
        <v>228.62222222222221</v>
      </c>
      <c r="M48" s="119">
        <f>AVERAGE(M35:M47)</f>
        <v>10</v>
      </c>
      <c r="N48" s="119">
        <f>SUM(N35:N47)</f>
        <v>2286.2222222222226</v>
      </c>
      <c r="O48" s="190">
        <f>N48</f>
        <v>2286.2222222222226</v>
      </c>
      <c r="P48" s="347" t="s">
        <v>372</v>
      </c>
      <c r="Q48" s="348"/>
    </row>
    <row r="49" spans="15:17" ht="16.8" thickTop="1" thickBot="1" x14ac:dyDescent="0.35">
      <c r="O49" s="150">
        <f>O33+O48</f>
        <v>2359.9519114815607</v>
      </c>
      <c r="P49" s="349" t="s">
        <v>411</v>
      </c>
      <c r="Q49" s="350"/>
    </row>
    <row r="50" spans="15:17" ht="16.2" thickTop="1" x14ac:dyDescent="0.3"/>
  </sheetData>
  <mergeCells count="31">
    <mergeCell ref="B23:B25"/>
    <mergeCell ref="A15:A16"/>
    <mergeCell ref="A17:A18"/>
    <mergeCell ref="A19:A20"/>
    <mergeCell ref="A1:B1"/>
    <mergeCell ref="B11:O11"/>
    <mergeCell ref="D12:G12"/>
    <mergeCell ref="H12:K12"/>
    <mergeCell ref="B15:B16"/>
    <mergeCell ref="R31:W31"/>
    <mergeCell ref="P48:Q48"/>
    <mergeCell ref="P49:Q49"/>
    <mergeCell ref="R13:W13"/>
    <mergeCell ref="L14:N14"/>
    <mergeCell ref="V14:W14"/>
    <mergeCell ref="A31:A32"/>
    <mergeCell ref="L12:L13"/>
    <mergeCell ref="M12:M13"/>
    <mergeCell ref="N12:N13"/>
    <mergeCell ref="B12:B13"/>
    <mergeCell ref="C12:C13"/>
    <mergeCell ref="A21:A22"/>
    <mergeCell ref="A23:A25"/>
    <mergeCell ref="A26:A27"/>
    <mergeCell ref="A29:A30"/>
    <mergeCell ref="B29:B30"/>
    <mergeCell ref="B31:B32"/>
    <mergeCell ref="B26:B27"/>
    <mergeCell ref="B17:B18"/>
    <mergeCell ref="B19:B20"/>
    <mergeCell ref="B21:B22"/>
  </mergeCells>
  <pageMargins left="0.7" right="0.7" top="0.75" bottom="0.75" header="0.3" footer="0.3"/>
  <ignoredErrors>
    <ignoredError sqref="M4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57A8B-B235-9E45-816B-5CE9F5815E17}">
  <dimension ref="A1:X49"/>
  <sheetViews>
    <sheetView topLeftCell="J25" workbookViewId="0">
      <selection activeCell="L46" sqref="L46"/>
    </sheetView>
  </sheetViews>
  <sheetFormatPr defaultColWidth="11.19921875" defaultRowHeight="15.6" x14ac:dyDescent="0.3"/>
  <cols>
    <col min="1" max="1" width="28.19921875" customWidth="1"/>
    <col min="2" max="2" width="26.296875" customWidth="1"/>
    <col min="3" max="3" width="15.796875" bestFit="1" customWidth="1"/>
    <col min="4" max="4" width="9.5" customWidth="1"/>
    <col min="5" max="5" width="10.19921875" customWidth="1"/>
    <col min="6" max="6" width="11.796875" customWidth="1"/>
    <col min="7" max="7" width="11" customWidth="1"/>
    <col min="8" max="9" width="9.296875" customWidth="1"/>
    <col min="10" max="10" width="5.796875" customWidth="1"/>
    <col min="11" max="11" width="11.69921875" customWidth="1"/>
    <col min="12" max="12" width="11.19921875" customWidth="1"/>
    <col min="13" max="13" width="10.69921875" customWidth="1"/>
    <col min="14" max="14" width="9.796875" customWidth="1"/>
    <col min="15" max="15" width="10.19921875" customWidth="1"/>
    <col min="16" max="16" width="14.19921875" customWidth="1"/>
    <col min="17" max="17" width="14.296875" customWidth="1"/>
    <col min="18" max="18" width="15.796875" bestFit="1" customWidth="1"/>
    <col min="19" max="19" width="12" bestFit="1" customWidth="1"/>
    <col min="20" max="20" width="14.5" bestFit="1" customWidth="1"/>
    <col min="21" max="21" width="17" bestFit="1" customWidth="1"/>
  </cols>
  <sheetData>
    <row r="1" spans="1:23" x14ac:dyDescent="0.3">
      <c r="A1" s="314" t="s">
        <v>91</v>
      </c>
      <c r="B1" s="344"/>
      <c r="C1" s="5"/>
      <c r="D1" s="3"/>
      <c r="E1" s="3"/>
      <c r="F1" s="3"/>
      <c r="G1" s="3"/>
    </row>
    <row r="2" spans="1:23" x14ac:dyDescent="0.3">
      <c r="A2" s="5" t="s">
        <v>9</v>
      </c>
      <c r="B2">
        <f>'Insert Dimensions &amp; Rates'!C6</f>
        <v>25</v>
      </c>
      <c r="C2" s="5"/>
      <c r="D2" s="3"/>
      <c r="E2" s="3"/>
      <c r="F2" s="3"/>
      <c r="G2" s="3"/>
    </row>
    <row r="3" spans="1:23" x14ac:dyDescent="0.3">
      <c r="A3" s="5" t="s">
        <v>10</v>
      </c>
      <c r="B3">
        <f>'Insert Dimensions &amp; Rates'!C7</f>
        <v>180</v>
      </c>
      <c r="C3" s="5"/>
      <c r="D3" s="3"/>
      <c r="E3" s="3"/>
      <c r="F3" s="3"/>
      <c r="G3" s="3"/>
    </row>
    <row r="4" spans="1:23" x14ac:dyDescent="0.3">
      <c r="A4" s="5" t="s">
        <v>322</v>
      </c>
      <c r="B4">
        <f>B2*B3</f>
        <v>4500</v>
      </c>
      <c r="C4" s="5"/>
      <c r="D4" s="3"/>
      <c r="E4" s="3"/>
      <c r="F4" s="3"/>
      <c r="G4" s="3"/>
    </row>
    <row r="5" spans="1:23" x14ac:dyDescent="0.3">
      <c r="A5" s="5" t="s">
        <v>367</v>
      </c>
      <c r="B5" s="109">
        <f>B4/43560</f>
        <v>0.10330578512396695</v>
      </c>
      <c r="C5" s="5"/>
      <c r="D5" s="3"/>
      <c r="E5" s="3"/>
      <c r="F5" s="3"/>
      <c r="G5" s="3"/>
    </row>
    <row r="6" spans="1:23" x14ac:dyDescent="0.3">
      <c r="A6" s="38" t="s">
        <v>237</v>
      </c>
      <c r="B6">
        <f>'Insert Dimensions &amp; Rates'!C15</f>
        <v>8</v>
      </c>
      <c r="C6" s="5"/>
      <c r="D6" s="3"/>
      <c r="E6" s="3"/>
      <c r="F6" s="3"/>
      <c r="G6" s="3"/>
    </row>
    <row r="7" spans="1:23" x14ac:dyDescent="0.3">
      <c r="A7" s="38" t="s">
        <v>13</v>
      </c>
      <c r="B7">
        <f>'Insert Dimensions &amp; Rates'!C14</f>
        <v>3</v>
      </c>
      <c r="C7" s="5"/>
      <c r="D7" s="3"/>
      <c r="E7" s="3"/>
      <c r="F7" s="3"/>
      <c r="G7" s="3"/>
    </row>
    <row r="8" spans="1:23" x14ac:dyDescent="0.3">
      <c r="A8" s="38" t="s">
        <v>240</v>
      </c>
      <c r="B8">
        <f>'Insert Dimensions &amp; Rates'!C17</f>
        <v>62</v>
      </c>
      <c r="C8" s="5"/>
      <c r="D8" s="3"/>
      <c r="E8" s="3"/>
      <c r="F8" s="3"/>
      <c r="G8" s="3"/>
    </row>
    <row r="9" spans="1:23" x14ac:dyDescent="0.3">
      <c r="A9" s="47" t="s">
        <v>357</v>
      </c>
      <c r="B9" s="7">
        <v>2</v>
      </c>
      <c r="C9" s="5"/>
      <c r="D9" s="3"/>
      <c r="E9" s="3"/>
      <c r="F9" s="3"/>
      <c r="G9" s="3"/>
    </row>
    <row r="11" spans="1:23" x14ac:dyDescent="0.3">
      <c r="A11" s="192" t="s">
        <v>31</v>
      </c>
      <c r="B11" s="344" t="s">
        <v>379</v>
      </c>
      <c r="C11" s="344"/>
      <c r="D11" s="344"/>
      <c r="E11" s="344"/>
      <c r="F11" s="344"/>
      <c r="G11" s="344"/>
      <c r="H11" s="344"/>
      <c r="I11" s="344"/>
      <c r="J11" s="344"/>
      <c r="K11" s="344"/>
      <c r="L11" s="344"/>
      <c r="M11" s="344"/>
      <c r="N11" s="344"/>
      <c r="O11" s="315"/>
    </row>
    <row r="12" spans="1:23" x14ac:dyDescent="0.3">
      <c r="A12" s="136" t="s">
        <v>365</v>
      </c>
      <c r="B12" s="365" t="s">
        <v>366</v>
      </c>
      <c r="C12" s="367" t="s">
        <v>359</v>
      </c>
      <c r="D12" s="387" t="s">
        <v>369</v>
      </c>
      <c r="E12" s="387"/>
      <c r="F12" s="387"/>
      <c r="G12" s="388"/>
      <c r="H12" s="389" t="s">
        <v>297</v>
      </c>
      <c r="I12" s="387"/>
      <c r="J12" s="387"/>
      <c r="K12" s="388"/>
      <c r="L12" s="359" t="s">
        <v>361</v>
      </c>
      <c r="M12" s="361" t="s">
        <v>363</v>
      </c>
      <c r="N12" s="363" t="s">
        <v>303</v>
      </c>
      <c r="O12" s="151"/>
      <c r="P12" s="139"/>
    </row>
    <row r="13" spans="1:23" x14ac:dyDescent="0.3">
      <c r="A13" s="16" t="s">
        <v>247</v>
      </c>
      <c r="B13" s="366"/>
      <c r="C13" s="368"/>
      <c r="D13" s="1" t="s">
        <v>266</v>
      </c>
      <c r="E13" s="1" t="s">
        <v>34</v>
      </c>
      <c r="F13" s="1" t="s">
        <v>368</v>
      </c>
      <c r="G13" s="9" t="s">
        <v>34</v>
      </c>
      <c r="H13" s="1" t="s">
        <v>362</v>
      </c>
      <c r="I13" s="1" t="s">
        <v>5</v>
      </c>
      <c r="J13" s="1" t="s">
        <v>34</v>
      </c>
      <c r="K13" s="9" t="s">
        <v>360</v>
      </c>
      <c r="L13" s="360"/>
      <c r="M13" s="362"/>
      <c r="N13" s="364"/>
      <c r="O13" s="9" t="s">
        <v>230</v>
      </c>
      <c r="R13" s="314" t="s">
        <v>273</v>
      </c>
      <c r="S13" s="344"/>
      <c r="T13" s="344"/>
      <c r="U13" s="344"/>
      <c r="V13" s="344"/>
      <c r="W13" s="315"/>
    </row>
    <row r="14" spans="1:23" ht="31.95" customHeight="1" x14ac:dyDescent="0.3">
      <c r="A14" s="193">
        <v>43166</v>
      </c>
      <c r="B14" s="194" t="s">
        <v>248</v>
      </c>
      <c r="C14" s="247" t="s">
        <v>267</v>
      </c>
      <c r="D14" s="195">
        <v>1</v>
      </c>
      <c r="E14" s="196" t="s">
        <v>285</v>
      </c>
      <c r="F14" s="197">
        <f>$B$5*D14</f>
        <v>0.10330578512396695</v>
      </c>
      <c r="G14" s="198" t="s">
        <v>281</v>
      </c>
      <c r="H14" s="199">
        <f>VLOOKUP(C14,$R$15:$W$28,5,FALSE)</f>
        <v>0.1330787037037037</v>
      </c>
      <c r="I14" s="200">
        <f>F14/VLOOKUP(C14,$R$33:$W$46,3,FALSE)</f>
        <v>13.223140495867769</v>
      </c>
      <c r="J14" s="195" t="str">
        <f>VLOOKUP(C14,$R$15:$S$28,2,FALSE)</f>
        <v>Oz</v>
      </c>
      <c r="K14" s="201">
        <f>I14*H14</f>
        <v>1.7597183960820324</v>
      </c>
      <c r="L14" s="380" t="s">
        <v>381</v>
      </c>
      <c r="M14" s="381"/>
      <c r="N14" s="382"/>
      <c r="O14" s="202">
        <f>K14+N14</f>
        <v>1.7597183960820324</v>
      </c>
      <c r="R14" s="111" t="s">
        <v>271</v>
      </c>
      <c r="S14" s="10" t="s">
        <v>272</v>
      </c>
      <c r="T14" s="10" t="s">
        <v>274</v>
      </c>
      <c r="U14" s="11" t="s">
        <v>275</v>
      </c>
      <c r="V14" s="383" t="s">
        <v>14</v>
      </c>
      <c r="W14" s="384"/>
    </row>
    <row r="15" spans="1:23" x14ac:dyDescent="0.3">
      <c r="A15" s="386">
        <v>43201</v>
      </c>
      <c r="B15" s="378" t="s">
        <v>249</v>
      </c>
      <c r="C15" s="248" t="s">
        <v>250</v>
      </c>
      <c r="D15" s="220">
        <v>23</v>
      </c>
      <c r="E15" s="220" t="s">
        <v>264</v>
      </c>
      <c r="F15" s="221">
        <f t="shared" ref="F15:F32" si="0">$B$5*D15</f>
        <v>2.3760330578512399</v>
      </c>
      <c r="G15" s="219" t="s">
        <v>282</v>
      </c>
      <c r="H15" s="222">
        <f t="shared" ref="H15:H32" si="1">VLOOKUP(C15,$R$15:$W$28,5,FALSE)</f>
        <v>52.66</v>
      </c>
      <c r="I15" s="223">
        <f t="shared" ref="I15:I32" si="2">F15/VLOOKUP(C15,$R$33:$W$46,3,FALSE)</f>
        <v>0.14850206611570249</v>
      </c>
      <c r="J15" s="224" t="str">
        <f t="shared" ref="J15:J32" si="3">VLOOKUP(C15,$R$15:$S$28,2,FALSE)</f>
        <v>Lb</v>
      </c>
      <c r="K15" s="225">
        <f t="shared" ref="K15:K32" si="4">I15*H15</f>
        <v>7.8201188016528924</v>
      </c>
      <c r="L15" s="226"/>
      <c r="M15" s="226"/>
      <c r="N15" s="227"/>
      <c r="O15" s="228">
        <f>K15+N15</f>
        <v>7.8201188016528924</v>
      </c>
      <c r="R15" s="90" t="s">
        <v>267</v>
      </c>
      <c r="S15" t="s">
        <v>276</v>
      </c>
      <c r="T15">
        <v>432</v>
      </c>
      <c r="U15" s="13">
        <v>57.49</v>
      </c>
      <c r="V15" s="26">
        <f>U15/T15</f>
        <v>0.1330787037037037</v>
      </c>
      <c r="W15" s="18" t="s">
        <v>276</v>
      </c>
    </row>
    <row r="16" spans="1:23" x14ac:dyDescent="0.3">
      <c r="A16" s="358"/>
      <c r="B16" s="379"/>
      <c r="C16" s="249" t="s">
        <v>268</v>
      </c>
      <c r="D16" s="230">
        <v>2</v>
      </c>
      <c r="E16" s="230" t="s">
        <v>265</v>
      </c>
      <c r="F16" s="231">
        <f t="shared" si="0"/>
        <v>0.20661157024793389</v>
      </c>
      <c r="G16" s="229" t="s">
        <v>283</v>
      </c>
      <c r="H16" s="232">
        <f t="shared" si="1"/>
        <v>11.65</v>
      </c>
      <c r="I16" s="233">
        <f t="shared" si="2"/>
        <v>0.20661157024793389</v>
      </c>
      <c r="J16" s="230" t="str">
        <f t="shared" si="3"/>
        <v>Lb</v>
      </c>
      <c r="K16" s="234">
        <f t="shared" si="4"/>
        <v>2.4070247933884299</v>
      </c>
      <c r="L16" s="230"/>
      <c r="M16" s="230"/>
      <c r="N16" s="235"/>
      <c r="O16" s="236">
        <f t="shared" ref="O16:O32" si="5">K16+N16</f>
        <v>2.4070247933884299</v>
      </c>
      <c r="R16" s="90" t="s">
        <v>268</v>
      </c>
      <c r="S16" t="s">
        <v>277</v>
      </c>
      <c r="T16">
        <v>3</v>
      </c>
      <c r="U16" s="13">
        <v>34.950000000000003</v>
      </c>
      <c r="V16" s="26">
        <f t="shared" ref="V16:V26" si="6">U16/T16</f>
        <v>11.65</v>
      </c>
      <c r="W16" s="8" t="s">
        <v>277</v>
      </c>
    </row>
    <row r="17" spans="1:23" x14ac:dyDescent="0.3">
      <c r="A17" s="369">
        <v>43213</v>
      </c>
      <c r="B17" s="376" t="s">
        <v>249</v>
      </c>
      <c r="C17" s="250" t="s">
        <v>251</v>
      </c>
      <c r="D17" s="204">
        <v>2</v>
      </c>
      <c r="E17" s="204" t="s">
        <v>265</v>
      </c>
      <c r="F17" s="205">
        <f t="shared" si="0"/>
        <v>0.20661157024793389</v>
      </c>
      <c r="G17" s="203" t="s">
        <v>283</v>
      </c>
      <c r="H17" s="206">
        <f t="shared" si="1"/>
        <v>9.2720000000000002</v>
      </c>
      <c r="I17" s="207">
        <f t="shared" si="2"/>
        <v>0.20661157024793389</v>
      </c>
      <c r="J17" s="208" t="str">
        <f t="shared" si="3"/>
        <v>Lb</v>
      </c>
      <c r="K17" s="209">
        <f t="shared" si="4"/>
        <v>1.9157024793388431</v>
      </c>
      <c r="L17" s="210"/>
      <c r="M17" s="210"/>
      <c r="N17" s="211"/>
      <c r="O17" s="212">
        <f t="shared" si="5"/>
        <v>1.9157024793388431</v>
      </c>
      <c r="R17" s="90" t="s">
        <v>269</v>
      </c>
      <c r="S17" t="s">
        <v>276</v>
      </c>
      <c r="T17">
        <v>32</v>
      </c>
      <c r="U17" s="13">
        <v>59.99</v>
      </c>
      <c r="V17" s="26">
        <f t="shared" si="6"/>
        <v>1.8746875000000001</v>
      </c>
      <c r="W17" s="8" t="s">
        <v>276</v>
      </c>
    </row>
    <row r="18" spans="1:23" x14ac:dyDescent="0.3">
      <c r="A18" s="370"/>
      <c r="B18" s="377"/>
      <c r="C18" s="251" t="s">
        <v>252</v>
      </c>
      <c r="D18" s="196">
        <v>5</v>
      </c>
      <c r="E18" s="196" t="s">
        <v>264</v>
      </c>
      <c r="F18" s="213">
        <f t="shared" si="0"/>
        <v>0.51652892561983477</v>
      </c>
      <c r="G18" s="198" t="s">
        <v>282</v>
      </c>
      <c r="H18" s="214">
        <f t="shared" si="1"/>
        <v>76.95</v>
      </c>
      <c r="I18" s="215">
        <f t="shared" si="2"/>
        <v>3.2283057851239673E-2</v>
      </c>
      <c r="J18" s="196" t="str">
        <f t="shared" si="3"/>
        <v>Lb</v>
      </c>
      <c r="K18" s="216">
        <f t="shared" si="4"/>
        <v>2.4841813016528929</v>
      </c>
      <c r="L18" s="196"/>
      <c r="M18" s="196"/>
      <c r="N18" s="217"/>
      <c r="O18" s="218">
        <f t="shared" si="5"/>
        <v>2.4841813016528929</v>
      </c>
      <c r="R18" s="90" t="s">
        <v>270</v>
      </c>
      <c r="S18" t="s">
        <v>277</v>
      </c>
      <c r="T18">
        <v>1</v>
      </c>
      <c r="U18" s="13">
        <v>109.95</v>
      </c>
      <c r="V18" s="26">
        <f t="shared" si="6"/>
        <v>109.95</v>
      </c>
      <c r="W18" s="8" t="s">
        <v>277</v>
      </c>
    </row>
    <row r="19" spans="1:23" x14ac:dyDescent="0.3">
      <c r="A19" s="371">
        <v>43229</v>
      </c>
      <c r="B19" s="378" t="s">
        <v>249</v>
      </c>
      <c r="C19" s="248" t="s">
        <v>268</v>
      </c>
      <c r="D19" s="220">
        <v>2</v>
      </c>
      <c r="E19" s="220" t="s">
        <v>265</v>
      </c>
      <c r="F19" s="221">
        <f t="shared" si="0"/>
        <v>0.20661157024793389</v>
      </c>
      <c r="G19" s="219" t="s">
        <v>283</v>
      </c>
      <c r="H19" s="222">
        <f t="shared" si="1"/>
        <v>11.65</v>
      </c>
      <c r="I19" s="223">
        <f t="shared" si="2"/>
        <v>0.20661157024793389</v>
      </c>
      <c r="J19" s="224" t="str">
        <f t="shared" si="3"/>
        <v>Lb</v>
      </c>
      <c r="K19" s="225">
        <f t="shared" si="4"/>
        <v>2.4070247933884299</v>
      </c>
      <c r="L19" s="226"/>
      <c r="M19" s="226"/>
      <c r="N19" s="227"/>
      <c r="O19" s="228">
        <f t="shared" si="5"/>
        <v>2.4070247933884299</v>
      </c>
      <c r="R19" s="90" t="s">
        <v>259</v>
      </c>
      <c r="S19" t="s">
        <v>278</v>
      </c>
      <c r="T19">
        <v>1</v>
      </c>
      <c r="U19" s="13">
        <v>16.95</v>
      </c>
      <c r="V19" s="26">
        <f t="shared" si="6"/>
        <v>16.95</v>
      </c>
      <c r="W19" s="8" t="s">
        <v>278</v>
      </c>
    </row>
    <row r="20" spans="1:23" x14ac:dyDescent="0.3">
      <c r="A20" s="373"/>
      <c r="B20" s="379"/>
      <c r="C20" s="249" t="s">
        <v>252</v>
      </c>
      <c r="D20" s="230">
        <v>5</v>
      </c>
      <c r="E20" s="230" t="s">
        <v>264</v>
      </c>
      <c r="F20" s="231">
        <f t="shared" si="0"/>
        <v>0.51652892561983477</v>
      </c>
      <c r="G20" s="229" t="s">
        <v>282</v>
      </c>
      <c r="H20" s="232">
        <f t="shared" si="1"/>
        <v>76.95</v>
      </c>
      <c r="I20" s="233">
        <f t="shared" si="2"/>
        <v>3.2283057851239673E-2</v>
      </c>
      <c r="J20" s="230" t="str">
        <f t="shared" si="3"/>
        <v>Lb</v>
      </c>
      <c r="K20" s="234">
        <f t="shared" si="4"/>
        <v>2.4841813016528929</v>
      </c>
      <c r="L20" s="230"/>
      <c r="M20" s="230"/>
      <c r="N20" s="235"/>
      <c r="O20" s="236">
        <f t="shared" si="5"/>
        <v>2.4841813016528929</v>
      </c>
      <c r="R20" s="90" t="s">
        <v>298</v>
      </c>
      <c r="S20" t="s">
        <v>278</v>
      </c>
      <c r="T20">
        <v>1</v>
      </c>
      <c r="U20" s="13">
        <v>16.95</v>
      </c>
      <c r="V20" s="26">
        <f t="shared" si="6"/>
        <v>16.95</v>
      </c>
      <c r="W20" s="8" t="s">
        <v>278</v>
      </c>
    </row>
    <row r="21" spans="1:23" x14ac:dyDescent="0.3">
      <c r="A21" s="369">
        <v>43242</v>
      </c>
      <c r="B21" s="376" t="s">
        <v>253</v>
      </c>
      <c r="C21" s="250" t="s">
        <v>250</v>
      </c>
      <c r="D21" s="204">
        <v>23</v>
      </c>
      <c r="E21" s="204" t="s">
        <v>264</v>
      </c>
      <c r="F21" s="205">
        <f t="shared" si="0"/>
        <v>2.3760330578512399</v>
      </c>
      <c r="G21" s="203" t="s">
        <v>282</v>
      </c>
      <c r="H21" s="206">
        <f t="shared" si="1"/>
        <v>52.66</v>
      </c>
      <c r="I21" s="207">
        <f t="shared" si="2"/>
        <v>0.14850206611570249</v>
      </c>
      <c r="J21" s="208" t="str">
        <f t="shared" si="3"/>
        <v>Lb</v>
      </c>
      <c r="K21" s="209">
        <f t="shared" si="4"/>
        <v>7.8201188016528924</v>
      </c>
      <c r="L21" s="210"/>
      <c r="M21" s="210"/>
      <c r="N21" s="211"/>
      <c r="O21" s="212">
        <f t="shared" si="5"/>
        <v>7.8201188016528924</v>
      </c>
      <c r="R21" s="90" t="s">
        <v>254</v>
      </c>
      <c r="S21" t="s">
        <v>279</v>
      </c>
      <c r="T21">
        <v>1</v>
      </c>
      <c r="U21" s="13">
        <v>145.94999999999999</v>
      </c>
      <c r="V21" s="26">
        <f t="shared" si="6"/>
        <v>145.94999999999999</v>
      </c>
      <c r="W21" s="8" t="s">
        <v>279</v>
      </c>
    </row>
    <row r="22" spans="1:23" x14ac:dyDescent="0.3">
      <c r="A22" s="370"/>
      <c r="B22" s="377"/>
      <c r="C22" s="251" t="s">
        <v>254</v>
      </c>
      <c r="D22" s="196">
        <v>4</v>
      </c>
      <c r="E22" s="196" t="s">
        <v>264</v>
      </c>
      <c r="F22" s="213">
        <f t="shared" si="0"/>
        <v>0.41322314049586778</v>
      </c>
      <c r="G22" s="198" t="s">
        <v>282</v>
      </c>
      <c r="H22" s="214">
        <f t="shared" si="1"/>
        <v>145.94999999999999</v>
      </c>
      <c r="I22" s="215">
        <f t="shared" si="2"/>
        <v>3.228305785123967E-3</v>
      </c>
      <c r="J22" s="196" t="str">
        <f t="shared" si="3"/>
        <v>Gal</v>
      </c>
      <c r="K22" s="216">
        <f t="shared" si="4"/>
        <v>0.47117122933884298</v>
      </c>
      <c r="L22" s="196"/>
      <c r="M22" s="196"/>
      <c r="N22" s="217"/>
      <c r="O22" s="218">
        <f t="shared" si="5"/>
        <v>0.47117122933884298</v>
      </c>
      <c r="R22" s="90" t="s">
        <v>252</v>
      </c>
      <c r="S22" t="s">
        <v>277</v>
      </c>
      <c r="T22">
        <v>1</v>
      </c>
      <c r="U22" s="13">
        <v>76.95</v>
      </c>
      <c r="V22" s="26">
        <f t="shared" si="6"/>
        <v>76.95</v>
      </c>
      <c r="W22" s="8" t="s">
        <v>277</v>
      </c>
    </row>
    <row r="23" spans="1:23" x14ac:dyDescent="0.3">
      <c r="A23" s="371">
        <v>43259</v>
      </c>
      <c r="B23" s="378" t="s">
        <v>253</v>
      </c>
      <c r="C23" s="248" t="s">
        <v>251</v>
      </c>
      <c r="D23" s="220">
        <v>2</v>
      </c>
      <c r="E23" s="220" t="s">
        <v>265</v>
      </c>
      <c r="F23" s="221">
        <f t="shared" si="0"/>
        <v>0.20661157024793389</v>
      </c>
      <c r="G23" s="219" t="s">
        <v>283</v>
      </c>
      <c r="H23" s="222">
        <f t="shared" si="1"/>
        <v>9.2720000000000002</v>
      </c>
      <c r="I23" s="223">
        <f t="shared" si="2"/>
        <v>0.20661157024793389</v>
      </c>
      <c r="J23" s="224" t="str">
        <f t="shared" si="3"/>
        <v>Lb</v>
      </c>
      <c r="K23" s="225">
        <f t="shared" si="4"/>
        <v>1.9157024793388431</v>
      </c>
      <c r="L23" s="226"/>
      <c r="M23" s="226"/>
      <c r="N23" s="227"/>
      <c r="O23" s="228">
        <f t="shared" si="5"/>
        <v>1.9157024793388431</v>
      </c>
      <c r="R23" s="90" t="s">
        <v>250</v>
      </c>
      <c r="S23" t="s">
        <v>277</v>
      </c>
      <c r="T23">
        <v>7.5</v>
      </c>
      <c r="U23" s="13">
        <v>394.95</v>
      </c>
      <c r="V23" s="26">
        <f t="shared" si="6"/>
        <v>52.66</v>
      </c>
      <c r="W23" s="8" t="s">
        <v>277</v>
      </c>
    </row>
    <row r="24" spans="1:23" x14ac:dyDescent="0.3">
      <c r="A24" s="372"/>
      <c r="B24" s="385"/>
      <c r="C24" s="252" t="s">
        <v>252</v>
      </c>
      <c r="D24" s="224">
        <v>5</v>
      </c>
      <c r="E24" s="224" t="s">
        <v>264</v>
      </c>
      <c r="F24" s="221">
        <f t="shared" si="0"/>
        <v>0.51652892561983477</v>
      </c>
      <c r="G24" s="237" t="s">
        <v>282</v>
      </c>
      <c r="H24" s="222">
        <f t="shared" si="1"/>
        <v>76.95</v>
      </c>
      <c r="I24" s="223">
        <f t="shared" si="2"/>
        <v>3.2283057851239673E-2</v>
      </c>
      <c r="J24" s="224" t="str">
        <f t="shared" si="3"/>
        <v>Lb</v>
      </c>
      <c r="K24" s="225">
        <f t="shared" si="4"/>
        <v>2.4841813016528929</v>
      </c>
      <c r="L24" s="226"/>
      <c r="M24" s="226"/>
      <c r="N24" s="227"/>
      <c r="O24" s="228">
        <f t="shared" si="5"/>
        <v>2.4841813016528929</v>
      </c>
      <c r="R24" s="90" t="s">
        <v>251</v>
      </c>
      <c r="S24" t="s">
        <v>277</v>
      </c>
      <c r="T24">
        <v>6.25</v>
      </c>
      <c r="U24" s="13">
        <v>57.95</v>
      </c>
      <c r="V24" s="26">
        <f t="shared" si="6"/>
        <v>9.2720000000000002</v>
      </c>
      <c r="W24" s="8" t="s">
        <v>277</v>
      </c>
    </row>
    <row r="25" spans="1:23" x14ac:dyDescent="0.3">
      <c r="A25" s="373"/>
      <c r="B25" s="379"/>
      <c r="C25" s="249" t="s">
        <v>254</v>
      </c>
      <c r="D25" s="230">
        <v>4</v>
      </c>
      <c r="E25" s="230" t="s">
        <v>264</v>
      </c>
      <c r="F25" s="231">
        <f t="shared" si="0"/>
        <v>0.41322314049586778</v>
      </c>
      <c r="G25" s="229" t="s">
        <v>282</v>
      </c>
      <c r="H25" s="232">
        <f t="shared" si="1"/>
        <v>145.94999999999999</v>
      </c>
      <c r="I25" s="233">
        <f t="shared" si="2"/>
        <v>3.228305785123967E-3</v>
      </c>
      <c r="J25" s="230" t="str">
        <f t="shared" si="3"/>
        <v>Gal</v>
      </c>
      <c r="K25" s="234">
        <f t="shared" si="4"/>
        <v>0.47117122933884298</v>
      </c>
      <c r="L25" s="230"/>
      <c r="M25" s="230"/>
      <c r="N25" s="235"/>
      <c r="O25" s="236">
        <f t="shared" si="5"/>
        <v>0.47117122933884298</v>
      </c>
      <c r="R25" s="90" t="s">
        <v>257</v>
      </c>
      <c r="S25" t="s">
        <v>276</v>
      </c>
      <c r="T25">
        <v>3</v>
      </c>
      <c r="U25" s="13">
        <v>250</v>
      </c>
      <c r="V25" s="26">
        <f t="shared" si="6"/>
        <v>83.333333333333329</v>
      </c>
      <c r="W25" s="8" t="s">
        <v>276</v>
      </c>
    </row>
    <row r="26" spans="1:23" x14ac:dyDescent="0.3">
      <c r="A26" s="374">
        <v>43271</v>
      </c>
      <c r="B26" s="376" t="s">
        <v>255</v>
      </c>
      <c r="C26" s="250" t="s">
        <v>250</v>
      </c>
      <c r="D26" s="204">
        <v>23</v>
      </c>
      <c r="E26" s="204" t="s">
        <v>264</v>
      </c>
      <c r="F26" s="205">
        <f t="shared" si="0"/>
        <v>2.3760330578512399</v>
      </c>
      <c r="G26" s="203" t="s">
        <v>282</v>
      </c>
      <c r="H26" s="206">
        <f t="shared" si="1"/>
        <v>52.66</v>
      </c>
      <c r="I26" s="207">
        <f t="shared" si="2"/>
        <v>0.14850206611570249</v>
      </c>
      <c r="J26" s="208" t="str">
        <f t="shared" si="3"/>
        <v>Lb</v>
      </c>
      <c r="K26" s="209">
        <f t="shared" si="4"/>
        <v>7.8201188016528924</v>
      </c>
      <c r="L26" s="210"/>
      <c r="M26" s="210"/>
      <c r="N26" s="211"/>
      <c r="O26" s="212">
        <f t="shared" si="5"/>
        <v>7.8201188016528924</v>
      </c>
      <c r="R26" s="90" t="s">
        <v>260</v>
      </c>
      <c r="S26" t="s">
        <v>279</v>
      </c>
      <c r="T26">
        <v>1</v>
      </c>
      <c r="U26" s="13">
        <v>49.5</v>
      </c>
      <c r="V26" s="26">
        <f t="shared" si="6"/>
        <v>49.5</v>
      </c>
      <c r="W26" s="8" t="s">
        <v>279</v>
      </c>
    </row>
    <row r="27" spans="1:23" x14ac:dyDescent="0.3">
      <c r="A27" s="375"/>
      <c r="B27" s="377"/>
      <c r="C27" s="251" t="s">
        <v>254</v>
      </c>
      <c r="D27" s="196">
        <v>4</v>
      </c>
      <c r="E27" s="196" t="s">
        <v>264</v>
      </c>
      <c r="F27" s="213">
        <f t="shared" si="0"/>
        <v>0.41322314049586778</v>
      </c>
      <c r="G27" s="198" t="s">
        <v>282</v>
      </c>
      <c r="H27" s="214">
        <f t="shared" si="1"/>
        <v>145.94999999999999</v>
      </c>
      <c r="I27" s="215">
        <f t="shared" si="2"/>
        <v>3.228305785123967E-3</v>
      </c>
      <c r="J27" s="196" t="str">
        <f t="shared" si="3"/>
        <v>Gal</v>
      </c>
      <c r="K27" s="216">
        <f t="shared" si="4"/>
        <v>0.47117122933884298</v>
      </c>
      <c r="L27" s="196"/>
      <c r="M27" s="196"/>
      <c r="N27" s="217"/>
      <c r="O27" s="218">
        <f t="shared" si="5"/>
        <v>0.47117122933884298</v>
      </c>
      <c r="R27" s="90" t="s">
        <v>262</v>
      </c>
      <c r="U27" s="8"/>
      <c r="W27" s="8"/>
    </row>
    <row r="28" spans="1:23" x14ac:dyDescent="0.3">
      <c r="A28" s="238">
        <v>43284</v>
      </c>
      <c r="B28" s="239" t="s">
        <v>256</v>
      </c>
      <c r="C28" s="253" t="s">
        <v>257</v>
      </c>
      <c r="D28" s="241">
        <v>3</v>
      </c>
      <c r="E28" s="241" t="s">
        <v>264</v>
      </c>
      <c r="F28" s="231">
        <f t="shared" si="0"/>
        <v>0.30991735537190085</v>
      </c>
      <c r="G28" s="240" t="s">
        <v>282</v>
      </c>
      <c r="H28" s="242">
        <f t="shared" si="1"/>
        <v>83.333333333333329</v>
      </c>
      <c r="I28" s="243">
        <f t="shared" si="2"/>
        <v>0.30991735537190085</v>
      </c>
      <c r="J28" s="241" t="str">
        <f t="shared" si="3"/>
        <v>Oz</v>
      </c>
      <c r="K28" s="244">
        <f t="shared" si="4"/>
        <v>25.826446280991735</v>
      </c>
      <c r="L28" s="241"/>
      <c r="M28" s="241"/>
      <c r="N28" s="245"/>
      <c r="O28" s="246">
        <f t="shared" si="5"/>
        <v>25.826446280991735</v>
      </c>
      <c r="R28" s="110" t="s">
        <v>261</v>
      </c>
      <c r="S28" s="2"/>
      <c r="T28" s="2"/>
      <c r="U28" s="7"/>
      <c r="V28" s="2"/>
      <c r="W28" s="7"/>
    </row>
    <row r="29" spans="1:23" x14ac:dyDescent="0.3">
      <c r="A29" s="374">
        <v>43299</v>
      </c>
      <c r="B29" s="376" t="s">
        <v>258</v>
      </c>
      <c r="C29" s="250" t="s">
        <v>298</v>
      </c>
      <c r="D29" s="204">
        <v>2.56</v>
      </c>
      <c r="E29" s="204" t="s">
        <v>284</v>
      </c>
      <c r="F29" s="205">
        <f t="shared" si="0"/>
        <v>0.26446280991735538</v>
      </c>
      <c r="G29" s="203" t="s">
        <v>284</v>
      </c>
      <c r="H29" s="206">
        <f t="shared" si="1"/>
        <v>16.95</v>
      </c>
      <c r="I29" s="207">
        <f t="shared" si="2"/>
        <v>7.8211039781556566E-3</v>
      </c>
      <c r="J29" s="208" t="s">
        <v>382</v>
      </c>
      <c r="K29" s="209">
        <f t="shared" si="4"/>
        <v>0.13256771242973836</v>
      </c>
      <c r="L29" s="210"/>
      <c r="M29" s="210"/>
      <c r="N29" s="211"/>
      <c r="O29" s="212">
        <f t="shared" si="5"/>
        <v>0.13256771242973836</v>
      </c>
    </row>
    <row r="30" spans="1:23" x14ac:dyDescent="0.3">
      <c r="A30" s="375"/>
      <c r="B30" s="377"/>
      <c r="C30" s="251" t="s">
        <v>260</v>
      </c>
      <c r="D30" s="196">
        <v>16</v>
      </c>
      <c r="E30" s="196" t="s">
        <v>264</v>
      </c>
      <c r="F30" s="213">
        <f t="shared" si="0"/>
        <v>1.6528925619834711</v>
      </c>
      <c r="G30" s="198" t="s">
        <v>282</v>
      </c>
      <c r="H30" s="214">
        <f t="shared" si="1"/>
        <v>49.5</v>
      </c>
      <c r="I30" s="215">
        <f t="shared" si="2"/>
        <v>1.2913223140495868E-2</v>
      </c>
      <c r="J30" s="196" t="str">
        <f t="shared" si="3"/>
        <v>Gal</v>
      </c>
      <c r="K30" s="216">
        <f t="shared" si="4"/>
        <v>0.63920454545454553</v>
      </c>
      <c r="L30" s="196"/>
      <c r="M30" s="196"/>
      <c r="N30" s="217"/>
      <c r="O30" s="218">
        <f t="shared" si="5"/>
        <v>0.63920454545454553</v>
      </c>
    </row>
    <row r="31" spans="1:23" x14ac:dyDescent="0.3">
      <c r="A31" s="357">
        <v>43328</v>
      </c>
      <c r="B31" s="378" t="s">
        <v>258</v>
      </c>
      <c r="C31" s="248" t="s">
        <v>251</v>
      </c>
      <c r="D31" s="220">
        <v>2</v>
      </c>
      <c r="E31" s="220" t="s">
        <v>265</v>
      </c>
      <c r="F31" s="221">
        <f t="shared" si="0"/>
        <v>0.20661157024793389</v>
      </c>
      <c r="G31" s="219" t="s">
        <v>283</v>
      </c>
      <c r="H31" s="222">
        <f t="shared" si="1"/>
        <v>9.2720000000000002</v>
      </c>
      <c r="I31" s="223">
        <f t="shared" si="2"/>
        <v>0.20661157024793389</v>
      </c>
      <c r="J31" s="224" t="str">
        <f t="shared" si="3"/>
        <v>Lb</v>
      </c>
      <c r="K31" s="225">
        <f t="shared" si="4"/>
        <v>1.9157024793388431</v>
      </c>
      <c r="L31" s="226"/>
      <c r="M31" s="226"/>
      <c r="N31" s="227"/>
      <c r="O31" s="228">
        <f t="shared" si="5"/>
        <v>1.9157024793388431</v>
      </c>
      <c r="R31" s="314" t="s">
        <v>263</v>
      </c>
      <c r="S31" s="344"/>
      <c r="T31" s="344"/>
      <c r="U31" s="344"/>
      <c r="V31" s="344"/>
      <c r="W31" s="315"/>
    </row>
    <row r="32" spans="1:23" x14ac:dyDescent="0.3">
      <c r="A32" s="358"/>
      <c r="B32" s="379"/>
      <c r="C32" s="249" t="s">
        <v>252</v>
      </c>
      <c r="D32" s="230">
        <v>5</v>
      </c>
      <c r="E32" s="230" t="s">
        <v>264</v>
      </c>
      <c r="F32" s="231">
        <f t="shared" si="0"/>
        <v>0.51652892561983477</v>
      </c>
      <c r="G32" s="229" t="s">
        <v>282</v>
      </c>
      <c r="H32" s="232">
        <f t="shared" si="1"/>
        <v>76.95</v>
      </c>
      <c r="I32" s="233">
        <f t="shared" si="2"/>
        <v>3.2283057851239673E-2</v>
      </c>
      <c r="J32" s="230" t="str">
        <f t="shared" si="3"/>
        <v>Lb</v>
      </c>
      <c r="K32" s="234">
        <f t="shared" si="4"/>
        <v>2.4841813016528929</v>
      </c>
      <c r="L32" s="230"/>
      <c r="M32" s="230"/>
      <c r="N32" s="235"/>
      <c r="O32" s="236">
        <f t="shared" si="5"/>
        <v>2.4841813016528929</v>
      </c>
      <c r="R32" s="64" t="s">
        <v>271</v>
      </c>
      <c r="S32" s="10" t="s">
        <v>287</v>
      </c>
      <c r="T32" s="112" t="s">
        <v>286</v>
      </c>
      <c r="U32" s="23" t="s">
        <v>34</v>
      </c>
      <c r="V32" s="23" t="s">
        <v>286</v>
      </c>
      <c r="W32" s="24" t="s">
        <v>34</v>
      </c>
    </row>
    <row r="33" spans="1:24" ht="16.95" customHeight="1" thickBot="1" x14ac:dyDescent="0.35">
      <c r="A33" s="255" t="s">
        <v>364</v>
      </c>
      <c r="B33" s="256"/>
      <c r="C33" s="257"/>
      <c r="D33" s="256"/>
      <c r="E33" s="256"/>
      <c r="F33" s="256"/>
      <c r="G33" s="255"/>
      <c r="H33" s="256"/>
      <c r="I33" s="256"/>
      <c r="J33" s="256"/>
      <c r="K33" s="258">
        <f>SUM(K14:K32)</f>
        <v>73.72968925933823</v>
      </c>
      <c r="L33" s="256"/>
      <c r="M33" s="256"/>
      <c r="N33" s="259"/>
      <c r="O33" s="190">
        <f>N33+K33</f>
        <v>73.72968925933823</v>
      </c>
      <c r="P33" s="191" t="s">
        <v>370</v>
      </c>
      <c r="R33" s="5" t="s">
        <v>267</v>
      </c>
      <c r="S33" s="18" t="s">
        <v>288</v>
      </c>
      <c r="T33" s="113">
        <f>1/128</f>
        <v>7.8125E-3</v>
      </c>
      <c r="U33" s="113" t="s">
        <v>294</v>
      </c>
      <c r="V33" s="3">
        <v>1</v>
      </c>
      <c r="W33" s="3" t="s">
        <v>276</v>
      </c>
      <c r="X33" s="5"/>
    </row>
    <row r="34" spans="1:24" ht="16.2" thickTop="1" x14ac:dyDescent="0.3">
      <c r="A34" s="138" t="s">
        <v>371</v>
      </c>
      <c r="B34" s="1" t="s">
        <v>366</v>
      </c>
      <c r="C34" s="9" t="s">
        <v>359</v>
      </c>
      <c r="D34" s="1" t="s">
        <v>266</v>
      </c>
      <c r="E34" s="1" t="s">
        <v>34</v>
      </c>
      <c r="F34" s="1" t="s">
        <v>368</v>
      </c>
      <c r="G34" s="9" t="s">
        <v>34</v>
      </c>
      <c r="H34" s="1" t="s">
        <v>362</v>
      </c>
      <c r="I34" s="1" t="s">
        <v>5</v>
      </c>
      <c r="J34" s="1" t="s">
        <v>34</v>
      </c>
      <c r="K34" s="9" t="s">
        <v>360</v>
      </c>
      <c r="L34" s="1" t="s">
        <v>361</v>
      </c>
      <c r="M34" s="1" t="s">
        <v>363</v>
      </c>
      <c r="N34" s="142" t="s">
        <v>303</v>
      </c>
      <c r="O34" s="9" t="s">
        <v>230</v>
      </c>
      <c r="R34" s="5" t="s">
        <v>268</v>
      </c>
      <c r="S34" s="8" t="s">
        <v>290</v>
      </c>
      <c r="T34" s="113">
        <v>1</v>
      </c>
      <c r="U34" s="113" t="s">
        <v>295</v>
      </c>
      <c r="V34" s="3">
        <v>1</v>
      </c>
      <c r="W34" s="3" t="s">
        <v>277</v>
      </c>
      <c r="X34" s="5"/>
    </row>
    <row r="35" spans="1:24" x14ac:dyDescent="0.3">
      <c r="A35" s="134" t="s">
        <v>311</v>
      </c>
      <c r="B35" s="130"/>
      <c r="C35" s="130"/>
      <c r="D35" s="5"/>
      <c r="H35" s="5"/>
      <c r="L35" s="145">
        <f>ROUNDUP(($B$4/'Labor Reference'!$B$4)*'Labor Reference'!M10,0)</f>
        <v>48</v>
      </c>
      <c r="M35" s="26">
        <f>'Insert Dimensions &amp; Rates'!$C$25</f>
        <v>10</v>
      </c>
      <c r="N35" s="26">
        <f>M35*L35</f>
        <v>480</v>
      </c>
      <c r="O35" s="146">
        <f t="shared" ref="O35:O46" si="7">N35</f>
        <v>480</v>
      </c>
      <c r="P35" s="5"/>
      <c r="R35" s="5" t="s">
        <v>269</v>
      </c>
      <c r="S35" s="30"/>
      <c r="T35" s="19"/>
      <c r="U35" s="19"/>
      <c r="V35" s="19"/>
      <c r="W35" s="19"/>
      <c r="X35" s="5"/>
    </row>
    <row r="36" spans="1:24" x14ac:dyDescent="0.3">
      <c r="A36" s="135" t="s">
        <v>312</v>
      </c>
      <c r="B36" s="130"/>
      <c r="C36" s="130"/>
      <c r="D36" s="5"/>
      <c r="H36" s="5"/>
      <c r="L36" s="145">
        <f>ROUNDUP(($B$4/'Labor Reference'!$B$4)*'Labor Reference'!M11,0)</f>
        <v>17</v>
      </c>
      <c r="M36" s="26">
        <f>'Insert Dimensions &amp; Rates'!$C$25</f>
        <v>10</v>
      </c>
      <c r="N36" s="26">
        <f t="shared" ref="N36:N46" si="8">M36*L36</f>
        <v>170</v>
      </c>
      <c r="O36" s="146">
        <f t="shared" si="7"/>
        <v>170</v>
      </c>
      <c r="P36" s="5"/>
      <c r="R36" s="5" t="s">
        <v>270</v>
      </c>
      <c r="S36" s="30"/>
      <c r="T36" s="19"/>
      <c r="U36" s="19"/>
      <c r="V36" s="19"/>
      <c r="W36" s="19"/>
      <c r="X36" s="5"/>
    </row>
    <row r="37" spans="1:24" x14ac:dyDescent="0.3">
      <c r="A37" s="135" t="s">
        <v>327</v>
      </c>
      <c r="B37" s="130"/>
      <c r="C37" s="130"/>
      <c r="D37" s="5"/>
      <c r="H37" s="5"/>
      <c r="L37" s="145">
        <f>ROUNDUP(($B$4/'Labor Reference'!$B$4)*'Labor Reference'!M12,0)</f>
        <v>32</v>
      </c>
      <c r="M37" s="26">
        <f>'Insert Dimensions &amp; Rates'!$C$25</f>
        <v>10</v>
      </c>
      <c r="N37" s="26">
        <f t="shared" si="8"/>
        <v>320</v>
      </c>
      <c r="O37" s="146">
        <f t="shared" si="7"/>
        <v>320</v>
      </c>
      <c r="P37" s="5"/>
      <c r="R37" s="5" t="s">
        <v>259</v>
      </c>
      <c r="S37" s="30" t="s">
        <v>293</v>
      </c>
      <c r="T37" s="117">
        <f>1/3.785</f>
        <v>0.26420079260237778</v>
      </c>
      <c r="U37" s="114" t="s">
        <v>294</v>
      </c>
      <c r="V37" s="19">
        <v>1</v>
      </c>
      <c r="W37" s="19" t="s">
        <v>278</v>
      </c>
      <c r="X37" s="5"/>
    </row>
    <row r="38" spans="1:24" x14ac:dyDescent="0.3">
      <c r="A38" s="135" t="s">
        <v>317</v>
      </c>
      <c r="B38" s="130"/>
      <c r="C38" s="130"/>
      <c r="D38" s="5"/>
      <c r="H38" s="5"/>
      <c r="L38" s="145">
        <f>ROUNDUP(($B$4/'Labor Reference'!$B$4)*'Labor Reference'!M13,0)</f>
        <v>25</v>
      </c>
      <c r="M38" s="26">
        <f>'Insert Dimensions &amp; Rates'!$C$25</f>
        <v>10</v>
      </c>
      <c r="N38" s="26">
        <f t="shared" si="8"/>
        <v>250</v>
      </c>
      <c r="O38" s="146">
        <f t="shared" si="7"/>
        <v>250</v>
      </c>
      <c r="P38" s="5"/>
      <c r="R38" s="5" t="s">
        <v>254</v>
      </c>
      <c r="S38" s="30" t="s">
        <v>280</v>
      </c>
      <c r="T38" s="114">
        <v>128</v>
      </c>
      <c r="U38" s="114" t="s">
        <v>296</v>
      </c>
      <c r="V38" s="19">
        <v>1</v>
      </c>
      <c r="W38" s="19" t="s">
        <v>279</v>
      </c>
      <c r="X38" s="5"/>
    </row>
    <row r="39" spans="1:24" x14ac:dyDescent="0.3">
      <c r="A39" s="135" t="s">
        <v>315</v>
      </c>
      <c r="B39" s="130"/>
      <c r="C39" s="130"/>
      <c r="D39" s="5"/>
      <c r="H39" s="5"/>
      <c r="L39" s="145">
        <f>ROUNDUP(($B$4/'Labor Reference'!$B$4)*'Labor Reference'!M14,0)</f>
        <v>13</v>
      </c>
      <c r="M39" s="26">
        <f>'Insert Dimensions &amp; Rates'!$C$25</f>
        <v>10</v>
      </c>
      <c r="N39" s="26">
        <f t="shared" si="8"/>
        <v>130</v>
      </c>
      <c r="O39" s="146">
        <f t="shared" si="7"/>
        <v>130</v>
      </c>
      <c r="P39" s="5"/>
      <c r="R39" s="5" t="s">
        <v>252</v>
      </c>
      <c r="S39" s="30" t="s">
        <v>289</v>
      </c>
      <c r="T39" s="115">
        <v>16</v>
      </c>
      <c r="U39" s="114" t="s">
        <v>296</v>
      </c>
      <c r="V39" s="19">
        <v>1</v>
      </c>
      <c r="W39" s="19" t="s">
        <v>277</v>
      </c>
      <c r="X39" s="5"/>
    </row>
    <row r="40" spans="1:24" x14ac:dyDescent="0.3">
      <c r="A40" s="135" t="s">
        <v>319</v>
      </c>
      <c r="B40" s="130"/>
      <c r="C40" s="130"/>
      <c r="D40" s="5"/>
      <c r="H40" s="5"/>
      <c r="L40" s="145">
        <f>ROUNDUP(($B$4/'Labor Reference'!$B$4)*'Labor Reference'!M15,0)</f>
        <v>45</v>
      </c>
      <c r="M40" s="26">
        <f>'Insert Dimensions &amp; Rates'!$C$25</f>
        <v>10</v>
      </c>
      <c r="N40" s="26">
        <f t="shared" si="8"/>
        <v>450</v>
      </c>
      <c r="O40" s="146">
        <f t="shared" si="7"/>
        <v>450</v>
      </c>
      <c r="P40" s="5"/>
      <c r="R40" s="5" t="s">
        <v>250</v>
      </c>
      <c r="S40" s="30" t="s">
        <v>289</v>
      </c>
      <c r="T40" s="115">
        <v>16</v>
      </c>
      <c r="U40" s="114" t="s">
        <v>296</v>
      </c>
      <c r="V40" s="19">
        <v>1</v>
      </c>
      <c r="W40" s="19" t="s">
        <v>277</v>
      </c>
      <c r="X40" s="5"/>
    </row>
    <row r="41" spans="1:24" x14ac:dyDescent="0.3">
      <c r="A41" s="135" t="s">
        <v>313</v>
      </c>
      <c r="B41" s="130"/>
      <c r="C41" s="130"/>
      <c r="D41" s="5"/>
      <c r="H41" s="5"/>
      <c r="L41" s="145">
        <f>ROUNDUP(($B$4/'Labor Reference'!$B$4)*'Labor Reference'!M16,0)</f>
        <v>1</v>
      </c>
      <c r="M41" s="26">
        <f>'Insert Dimensions &amp; Rates'!$C$25</f>
        <v>10</v>
      </c>
      <c r="N41" s="26">
        <f t="shared" si="8"/>
        <v>10</v>
      </c>
      <c r="O41" s="146">
        <f t="shared" si="7"/>
        <v>10</v>
      </c>
      <c r="P41" s="5"/>
      <c r="R41" s="5" t="s">
        <v>251</v>
      </c>
      <c r="S41" s="30" t="s">
        <v>290</v>
      </c>
      <c r="T41" s="115">
        <v>1</v>
      </c>
      <c r="U41" s="114" t="s">
        <v>295</v>
      </c>
      <c r="V41" s="19">
        <v>1</v>
      </c>
      <c r="W41" s="19" t="s">
        <v>277</v>
      </c>
      <c r="X41" s="5"/>
    </row>
    <row r="42" spans="1:24" x14ac:dyDescent="0.3">
      <c r="A42" s="135" t="s">
        <v>314</v>
      </c>
      <c r="B42" s="130"/>
      <c r="C42" s="130"/>
      <c r="D42" s="5"/>
      <c r="H42" s="5"/>
      <c r="L42" s="145">
        <f>ROUNDUP(($B$4/'Labor Reference'!$B$4)*'Labor Reference'!M17,0)</f>
        <v>7</v>
      </c>
      <c r="M42" s="26">
        <f>'Insert Dimensions &amp; Rates'!$C$25</f>
        <v>10</v>
      </c>
      <c r="N42" s="26">
        <f t="shared" si="8"/>
        <v>70</v>
      </c>
      <c r="O42" s="146">
        <f t="shared" si="7"/>
        <v>70</v>
      </c>
      <c r="P42" s="5"/>
      <c r="R42" s="5" t="s">
        <v>257</v>
      </c>
      <c r="S42" s="30" t="s">
        <v>292</v>
      </c>
      <c r="T42" s="115">
        <v>1</v>
      </c>
      <c r="U42" s="114" t="s">
        <v>296</v>
      </c>
      <c r="V42" s="19">
        <v>1</v>
      </c>
      <c r="W42" s="19" t="s">
        <v>276</v>
      </c>
      <c r="X42" s="5"/>
    </row>
    <row r="43" spans="1:24" x14ac:dyDescent="0.3">
      <c r="A43" s="135" t="s">
        <v>416</v>
      </c>
      <c r="B43" s="130"/>
      <c r="C43" s="130"/>
      <c r="D43" s="5"/>
      <c r="H43" s="5"/>
      <c r="L43" s="145">
        <f>ROUNDUP(($B$4/'Labor Reference'!$B$4)*'Labor Reference'!M18,0)</f>
        <v>2</v>
      </c>
      <c r="M43" s="26">
        <f>'Insert Dimensions &amp; Rates'!$C$25</f>
        <v>10</v>
      </c>
      <c r="N43" s="26">
        <f t="shared" si="8"/>
        <v>20</v>
      </c>
      <c r="O43" s="146">
        <f t="shared" si="7"/>
        <v>20</v>
      </c>
      <c r="P43" s="5"/>
      <c r="R43" s="5" t="s">
        <v>260</v>
      </c>
      <c r="S43" s="30" t="s">
        <v>280</v>
      </c>
      <c r="T43" s="115">
        <v>128</v>
      </c>
      <c r="U43" s="114" t="s">
        <v>296</v>
      </c>
      <c r="V43" s="19">
        <v>1</v>
      </c>
      <c r="W43" s="19" t="s">
        <v>279</v>
      </c>
      <c r="X43" s="5"/>
    </row>
    <row r="44" spans="1:24" x14ac:dyDescent="0.3">
      <c r="A44" s="135" t="s">
        <v>304</v>
      </c>
      <c r="B44" s="130"/>
      <c r="C44" s="130"/>
      <c r="D44" s="5"/>
      <c r="E44" s="3"/>
      <c r="F44" s="3"/>
      <c r="G44" s="3"/>
      <c r="H44" s="5"/>
      <c r="I44" s="3"/>
      <c r="J44" s="3"/>
      <c r="K44" s="3"/>
      <c r="L44" s="145">
        <f>ROUNDUP(($B$4/'Labor Reference'!$B$4)*'Labor Reference'!M19,0)</f>
        <v>7</v>
      </c>
      <c r="M44" s="26">
        <f>'Insert Dimensions &amp; Rates'!$C$25</f>
        <v>10</v>
      </c>
      <c r="N44" s="26">
        <f t="shared" si="8"/>
        <v>70</v>
      </c>
      <c r="O44" s="146">
        <f t="shared" si="7"/>
        <v>70</v>
      </c>
      <c r="P44" s="5"/>
      <c r="R44" s="5" t="s">
        <v>298</v>
      </c>
      <c r="S44" s="30" t="s">
        <v>291</v>
      </c>
      <c r="T44" s="115">
        <v>33.814</v>
      </c>
      <c r="U44" s="114" t="s">
        <v>296</v>
      </c>
      <c r="V44" s="19">
        <v>1</v>
      </c>
      <c r="W44" s="19" t="s">
        <v>278</v>
      </c>
      <c r="X44" s="5"/>
    </row>
    <row r="45" spans="1:24" x14ac:dyDescent="0.3">
      <c r="A45" s="135" t="s">
        <v>320</v>
      </c>
      <c r="B45" s="130"/>
      <c r="C45" s="77"/>
      <c r="D45" s="3"/>
      <c r="E45" s="3"/>
      <c r="F45" s="3"/>
      <c r="G45" s="8"/>
      <c r="H45" s="3"/>
      <c r="I45" s="3"/>
      <c r="J45" s="3"/>
      <c r="K45" s="8"/>
      <c r="L45" s="145">
        <f>ROUNDUP(($B$4/'Labor Reference'!$B$4)*'Labor Reference'!M20,0)</f>
        <v>30</v>
      </c>
      <c r="M45" s="26">
        <f>'Insert Dimensions &amp; Rates'!$C$25</f>
        <v>10</v>
      </c>
      <c r="N45" s="26">
        <f t="shared" si="8"/>
        <v>300</v>
      </c>
      <c r="O45" s="146">
        <f t="shared" si="7"/>
        <v>300</v>
      </c>
      <c r="P45" s="5"/>
      <c r="R45" s="5" t="s">
        <v>262</v>
      </c>
      <c r="S45" s="30"/>
      <c r="T45" s="19"/>
      <c r="U45" s="19"/>
      <c r="V45" s="19"/>
      <c r="W45" s="19"/>
      <c r="X45" s="5"/>
    </row>
    <row r="46" spans="1:24" x14ac:dyDescent="0.3">
      <c r="A46" s="130" t="s">
        <v>318</v>
      </c>
      <c r="B46" s="76"/>
      <c r="C46" s="130"/>
      <c r="D46" s="5"/>
      <c r="E46" s="3"/>
      <c r="F46" s="3"/>
      <c r="G46" s="3"/>
      <c r="H46" s="5"/>
      <c r="I46" s="3"/>
      <c r="J46" s="3"/>
      <c r="K46" s="3"/>
      <c r="L46" s="145">
        <f>ROUNDUP(($B$4/'Labor Reference'!$B$4)*'Labor Reference'!M23,0)</f>
        <v>31</v>
      </c>
      <c r="M46" s="26">
        <f>'Insert Dimensions &amp; Rates'!$C$25</f>
        <v>10</v>
      </c>
      <c r="N46" s="26">
        <f t="shared" si="8"/>
        <v>310</v>
      </c>
      <c r="O46" s="146">
        <f t="shared" si="7"/>
        <v>310</v>
      </c>
      <c r="P46" s="5"/>
      <c r="R46" s="6" t="s">
        <v>261</v>
      </c>
      <c r="S46" s="31"/>
      <c r="T46" s="116"/>
      <c r="U46" s="116"/>
      <c r="V46" s="116"/>
      <c r="W46" s="31"/>
    </row>
    <row r="47" spans="1:24" ht="16.2" thickBot="1" x14ac:dyDescent="0.35">
      <c r="A47" s="149" t="s">
        <v>364</v>
      </c>
      <c r="B47" s="123"/>
      <c r="C47" s="118"/>
      <c r="D47" s="123"/>
      <c r="E47" s="118"/>
      <c r="F47" s="118"/>
      <c r="G47" s="118"/>
      <c r="H47" s="123"/>
      <c r="I47" s="118"/>
      <c r="J47" s="118"/>
      <c r="K47" s="119"/>
      <c r="L47" s="152">
        <f>SUM(L35:L46)</f>
        <v>258</v>
      </c>
      <c r="M47" s="119">
        <f>AVERAGE(M35:M46)</f>
        <v>10</v>
      </c>
      <c r="N47" s="119">
        <f>SUM(N35:N46)</f>
        <v>2580</v>
      </c>
      <c r="O47" s="190">
        <f>N47</f>
        <v>2580</v>
      </c>
      <c r="P47" s="347" t="s">
        <v>372</v>
      </c>
      <c r="Q47" s="348"/>
    </row>
    <row r="48" spans="1:24" ht="16.8" thickTop="1" thickBot="1" x14ac:dyDescent="0.35">
      <c r="O48" s="150">
        <f>O33+O47</f>
        <v>2653.7296892593381</v>
      </c>
      <c r="P48" s="349" t="s">
        <v>412</v>
      </c>
      <c r="Q48" s="350"/>
    </row>
    <row r="49" ht="16.2" thickTop="1" x14ac:dyDescent="0.3"/>
  </sheetData>
  <mergeCells count="31">
    <mergeCell ref="A1:B1"/>
    <mergeCell ref="B11:O11"/>
    <mergeCell ref="D12:G12"/>
    <mergeCell ref="H12:K12"/>
    <mergeCell ref="B15:B16"/>
    <mergeCell ref="L12:L13"/>
    <mergeCell ref="M12:M13"/>
    <mergeCell ref="N12:N13"/>
    <mergeCell ref="B12:B13"/>
    <mergeCell ref="C12:C13"/>
    <mergeCell ref="A15:A16"/>
    <mergeCell ref="R31:W31"/>
    <mergeCell ref="P47:Q47"/>
    <mergeCell ref="R13:W13"/>
    <mergeCell ref="V14:W14"/>
    <mergeCell ref="L14:N14"/>
    <mergeCell ref="A17:A18"/>
    <mergeCell ref="P48:Q48"/>
    <mergeCell ref="B29:B30"/>
    <mergeCell ref="B31:B32"/>
    <mergeCell ref="B26:B27"/>
    <mergeCell ref="B17:B18"/>
    <mergeCell ref="B19:B20"/>
    <mergeCell ref="B21:B22"/>
    <mergeCell ref="B23:B25"/>
    <mergeCell ref="A29:A30"/>
    <mergeCell ref="A31:A32"/>
    <mergeCell ref="A19:A20"/>
    <mergeCell ref="A21:A22"/>
    <mergeCell ref="A23:A25"/>
    <mergeCell ref="A26:A27"/>
  </mergeCells>
  <pageMargins left="0.7" right="0.7" top="0.75" bottom="0.75" header="0.3" footer="0.3"/>
  <ignoredErrors>
    <ignoredError sqref="M4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EE2D1-F016-6D4D-A55D-7F65F0A2BB8A}">
  <dimension ref="A1:L12"/>
  <sheetViews>
    <sheetView workbookViewId="0">
      <selection activeCell="B2" sqref="B2"/>
    </sheetView>
  </sheetViews>
  <sheetFormatPr defaultColWidth="11.19921875" defaultRowHeight="15.6" x14ac:dyDescent="0.3"/>
  <cols>
    <col min="1" max="1" width="27" customWidth="1"/>
    <col min="2" max="2" width="12.69921875" bestFit="1" customWidth="1"/>
    <col min="3" max="3" width="12.5" bestFit="1" customWidth="1"/>
    <col min="10" max="10" width="27.796875" bestFit="1" customWidth="1"/>
  </cols>
  <sheetData>
    <row r="1" spans="1:12" x14ac:dyDescent="0.3">
      <c r="A1" s="265" t="s">
        <v>15</v>
      </c>
      <c r="B1" s="264" t="s">
        <v>186</v>
      </c>
      <c r="C1" s="266" t="s">
        <v>63</v>
      </c>
      <c r="D1" s="265" t="s">
        <v>188</v>
      </c>
      <c r="E1" s="267" t="s">
        <v>230</v>
      </c>
      <c r="G1" s="392" t="s">
        <v>231</v>
      </c>
      <c r="H1" s="394"/>
      <c r="I1" s="90"/>
      <c r="J1" s="392" t="s">
        <v>91</v>
      </c>
      <c r="K1" s="393"/>
      <c r="L1" s="5"/>
    </row>
    <row r="2" spans="1:12" x14ac:dyDescent="0.3">
      <c r="A2" s="18" t="s">
        <v>349</v>
      </c>
      <c r="B2" s="26">
        <f>'GDC Materials'!D26</f>
        <v>2550.2709897959189</v>
      </c>
      <c r="C2" s="26">
        <f>'Irrigation Materials'!D19</f>
        <v>1521.3775000000003</v>
      </c>
      <c r="D2" s="13">
        <f>'High Tunnel Materials'!G33</f>
        <v>8490.0499694978334</v>
      </c>
      <c r="E2" s="85">
        <f>SUM(B2:D2)</f>
        <v>12561.698459293752</v>
      </c>
      <c r="G2" s="89" t="s">
        <v>232</v>
      </c>
      <c r="H2" s="84">
        <f>'Insert Dimensions &amp; Rates'!C28</f>
        <v>5.0000000000000001E-3</v>
      </c>
      <c r="I2" s="90"/>
      <c r="J2" s="5" t="s">
        <v>10</v>
      </c>
      <c r="K2" s="35">
        <f>'GDC Materials'!J3</f>
        <v>180</v>
      </c>
      <c r="L2" s="5"/>
    </row>
    <row r="3" spans="1:12" x14ac:dyDescent="0.3">
      <c r="A3" s="8" t="s">
        <v>187</v>
      </c>
      <c r="B3" s="26">
        <f>'GDC Labor'!D23</f>
        <v>460</v>
      </c>
      <c r="C3" s="26">
        <f>'Irrigation Labor'!D20</f>
        <v>140</v>
      </c>
      <c r="D3" s="13">
        <f>'High Tunnel Labor'!D23</f>
        <v>2700</v>
      </c>
      <c r="E3" s="85">
        <f t="shared" ref="E3:E7" si="0">SUM(B3:D3)</f>
        <v>3300</v>
      </c>
      <c r="G3" s="5" t="s">
        <v>190</v>
      </c>
      <c r="H3" s="84">
        <f>'Insert Dimensions &amp; Rates'!C29</f>
        <v>6.0000000000000001E-3</v>
      </c>
      <c r="I3" s="90"/>
      <c r="J3" s="5" t="s">
        <v>9</v>
      </c>
      <c r="K3">
        <f>'GDC Materials'!J2</f>
        <v>25</v>
      </c>
      <c r="L3" s="5"/>
    </row>
    <row r="4" spans="1:12" x14ac:dyDescent="0.3">
      <c r="A4" s="30" t="s">
        <v>350</v>
      </c>
      <c r="B4" s="26">
        <f>'GDC Materials'!F26</f>
        <v>177.14002551388216</v>
      </c>
      <c r="C4" s="26">
        <f>'Irrigation Materials'!F19</f>
        <v>219.41313715590053</v>
      </c>
      <c r="D4" s="13">
        <f>'High Tunnel Materials'!I33</f>
        <v>1391.2247833883821</v>
      </c>
      <c r="E4" s="85">
        <f t="shared" si="0"/>
        <v>1787.7779460581648</v>
      </c>
      <c r="G4" s="6" t="s">
        <v>235</v>
      </c>
      <c r="H4" s="88">
        <f>'Insert Dimensions &amp; Rates'!C27</f>
        <v>0.05</v>
      </c>
      <c r="I4" s="90"/>
      <c r="J4" s="5" t="s">
        <v>75</v>
      </c>
      <c r="K4">
        <f>'GDC Materials'!J4</f>
        <v>156</v>
      </c>
      <c r="L4" s="5"/>
    </row>
    <row r="5" spans="1:12" x14ac:dyDescent="0.3">
      <c r="A5" s="30" t="s">
        <v>234</v>
      </c>
      <c r="B5" s="26">
        <f>PMT($H$4,30,-B3)</f>
        <v>29.923660136927225</v>
      </c>
      <c r="C5" s="26">
        <f t="shared" ref="C5:D5" si="1">PMT($H$4,30,-C3)</f>
        <v>9.1072009112387207</v>
      </c>
      <c r="D5" s="26">
        <f t="shared" si="1"/>
        <v>175.63887471674678</v>
      </c>
      <c r="E5" s="85">
        <f t="shared" si="0"/>
        <v>214.66973576491273</v>
      </c>
      <c r="J5" s="5" t="s">
        <v>13</v>
      </c>
      <c r="K5">
        <f>'Insert Dimensions &amp; Rates'!C14</f>
        <v>3</v>
      </c>
      <c r="L5" s="5"/>
    </row>
    <row r="6" spans="1:12" x14ac:dyDescent="0.3">
      <c r="A6" s="30" t="s">
        <v>189</v>
      </c>
      <c r="B6" s="26">
        <f>(B2/2)*$H$2</f>
        <v>6.3756774744897973</v>
      </c>
      <c r="C6" s="26">
        <f t="shared" ref="C6:D6" si="2">(C2/2)*$H$2</f>
        <v>3.8034437500000009</v>
      </c>
      <c r="D6" s="13">
        <f t="shared" si="2"/>
        <v>21.225124923744584</v>
      </c>
      <c r="E6" s="85">
        <f t="shared" si="0"/>
        <v>31.404246148234382</v>
      </c>
      <c r="J6" s="5" t="s">
        <v>76</v>
      </c>
      <c r="K6">
        <f>'Irrigation Materials'!J6</f>
        <v>8</v>
      </c>
      <c r="L6" s="5"/>
    </row>
    <row r="7" spans="1:12" x14ac:dyDescent="0.3">
      <c r="A7" s="31" t="s">
        <v>190</v>
      </c>
      <c r="B7" s="17">
        <f>(B2/2)*$H$3</f>
        <v>7.6508129693877569</v>
      </c>
      <c r="C7" s="17">
        <f t="shared" ref="C7:D7" si="3">(C2/2)*$H$3</f>
        <v>4.5641325000000013</v>
      </c>
      <c r="D7" s="28">
        <f t="shared" si="3"/>
        <v>25.4701499084935</v>
      </c>
      <c r="E7" s="86">
        <f t="shared" si="0"/>
        <v>37.685095377881254</v>
      </c>
      <c r="J7" s="5" t="s">
        <v>77</v>
      </c>
      <c r="K7">
        <f>'Insert Dimensions &amp; Rates'!C11</f>
        <v>8</v>
      </c>
      <c r="L7" s="5"/>
    </row>
    <row r="8" spans="1:12" ht="16.2" thickBot="1" x14ac:dyDescent="0.35">
      <c r="A8" s="87"/>
      <c r="B8" s="87"/>
      <c r="C8" s="390" t="s">
        <v>233</v>
      </c>
      <c r="D8" s="391"/>
      <c r="E8" s="42">
        <f>SUM(E4:E7)</f>
        <v>2071.5370233491931</v>
      </c>
      <c r="F8" s="5"/>
      <c r="J8" s="5" t="s">
        <v>78</v>
      </c>
      <c r="K8">
        <f>K4</f>
        <v>156</v>
      </c>
      <c r="L8" s="5"/>
    </row>
    <row r="9" spans="1:12" ht="16.2" thickTop="1" x14ac:dyDescent="0.3">
      <c r="J9" s="6" t="s">
        <v>74</v>
      </c>
      <c r="K9" s="2">
        <f>'Insert Dimensions &amp; Rates'!C17</f>
        <v>62</v>
      </c>
      <c r="L9" s="5"/>
    </row>
    <row r="12" spans="1:12" x14ac:dyDescent="0.3">
      <c r="D12" s="26"/>
    </row>
  </sheetData>
  <mergeCells count="3">
    <mergeCell ref="C8:D8"/>
    <mergeCell ref="J1:K1"/>
    <mergeCell ref="G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CF83A-5C15-B945-AEF7-414E4780773D}">
  <dimension ref="A1:O30"/>
  <sheetViews>
    <sheetView topLeftCell="A10" workbookViewId="0">
      <selection activeCell="B26" sqref="B26"/>
    </sheetView>
  </sheetViews>
  <sheetFormatPr defaultColWidth="11.19921875" defaultRowHeight="15.6" x14ac:dyDescent="0.3"/>
  <cols>
    <col min="2" max="2" width="58.796875" bestFit="1" customWidth="1"/>
    <col min="10" max="10" width="11.69921875" customWidth="1"/>
  </cols>
  <sheetData>
    <row r="1" spans="1:15" x14ac:dyDescent="0.3">
      <c r="A1" s="395" t="s">
        <v>355</v>
      </c>
      <c r="B1" s="395"/>
      <c r="C1" s="395"/>
      <c r="D1" s="395"/>
      <c r="E1" s="395"/>
      <c r="F1" s="96"/>
      <c r="G1" s="96"/>
      <c r="H1" s="96"/>
      <c r="I1" s="96"/>
      <c r="J1" s="102"/>
    </row>
    <row r="3" spans="1:15" ht="21" x14ac:dyDescent="0.4">
      <c r="B3" s="396" t="s">
        <v>356</v>
      </c>
      <c r="C3" s="396"/>
    </row>
    <row r="5" spans="1:15" x14ac:dyDescent="0.3">
      <c r="B5" s="314" t="s">
        <v>91</v>
      </c>
      <c r="C5" s="315"/>
    </row>
    <row r="6" spans="1:15" x14ac:dyDescent="0.3">
      <c r="B6" s="100" t="s">
        <v>9</v>
      </c>
      <c r="C6" s="98">
        <v>25</v>
      </c>
    </row>
    <row r="7" spans="1:15" x14ac:dyDescent="0.3">
      <c r="B7" s="100" t="s">
        <v>10</v>
      </c>
      <c r="C7" s="99">
        <v>180</v>
      </c>
    </row>
    <row r="8" spans="1:15" x14ac:dyDescent="0.3">
      <c r="B8" s="38" t="s">
        <v>414</v>
      </c>
      <c r="C8" s="271">
        <f>(C6*C7)/43560</f>
        <v>0.10330578512396695</v>
      </c>
    </row>
    <row r="9" spans="1:15" x14ac:dyDescent="0.3">
      <c r="B9" s="5" t="s">
        <v>11</v>
      </c>
      <c r="C9" s="8">
        <f>C7-24</f>
        <v>156</v>
      </c>
      <c r="D9" s="397" t="s">
        <v>239</v>
      </c>
      <c r="E9" s="398"/>
      <c r="F9" s="398"/>
      <c r="G9" s="398"/>
      <c r="H9" s="398"/>
      <c r="I9" s="398"/>
      <c r="J9" s="398"/>
      <c r="K9" s="398"/>
      <c r="L9" s="398"/>
      <c r="M9" s="398"/>
      <c r="N9" s="398"/>
      <c r="O9" s="398"/>
    </row>
    <row r="10" spans="1:15" x14ac:dyDescent="0.3">
      <c r="A10" s="8"/>
      <c r="B10" s="19" t="s">
        <v>236</v>
      </c>
      <c r="C10" s="8">
        <f>43560/C6</f>
        <v>1742.4</v>
      </c>
    </row>
    <row r="11" spans="1:15" x14ac:dyDescent="0.3">
      <c r="A11" s="8"/>
      <c r="B11" s="101" t="s">
        <v>77</v>
      </c>
      <c r="C11" s="99">
        <v>8</v>
      </c>
    </row>
    <row r="12" spans="1:15" x14ac:dyDescent="0.3">
      <c r="A12" s="8"/>
      <c r="B12" s="19" t="s">
        <v>78</v>
      </c>
      <c r="C12" s="30">
        <f>C9</f>
        <v>156</v>
      </c>
      <c r="D12" s="397" t="s">
        <v>238</v>
      </c>
      <c r="E12" s="398"/>
      <c r="F12" s="398"/>
      <c r="G12" s="398"/>
      <c r="H12" s="398"/>
      <c r="I12" s="398"/>
      <c r="J12" s="398"/>
      <c r="K12" s="398"/>
      <c r="L12" s="398"/>
      <c r="M12" s="398"/>
      <c r="N12" s="398"/>
      <c r="O12" s="398"/>
    </row>
    <row r="13" spans="1:15" x14ac:dyDescent="0.3">
      <c r="A13" s="8"/>
      <c r="B13" s="101" t="s">
        <v>12</v>
      </c>
      <c r="C13" s="99">
        <v>15</v>
      </c>
    </row>
    <row r="14" spans="1:15" x14ac:dyDescent="0.3">
      <c r="A14" s="8"/>
      <c r="B14" s="101" t="s">
        <v>13</v>
      </c>
      <c r="C14" s="99">
        <v>3</v>
      </c>
    </row>
    <row r="15" spans="1:15" x14ac:dyDescent="0.3">
      <c r="B15" s="100" t="s">
        <v>76</v>
      </c>
      <c r="C15" s="99">
        <v>8</v>
      </c>
    </row>
    <row r="16" spans="1:15" x14ac:dyDescent="0.3">
      <c r="B16" s="100" t="s">
        <v>92</v>
      </c>
      <c r="C16" s="99">
        <v>6</v>
      </c>
    </row>
    <row r="17" spans="2:10" x14ac:dyDescent="0.3">
      <c r="B17" s="38" t="s">
        <v>240</v>
      </c>
      <c r="C17" s="8">
        <f>ROUNDUP((C12/C15+1)*C14,0)</f>
        <v>62</v>
      </c>
    </row>
    <row r="18" spans="2:10" x14ac:dyDescent="0.3">
      <c r="B18" s="38" t="s">
        <v>241</v>
      </c>
      <c r="C18" s="30">
        <v>2</v>
      </c>
      <c r="D18" s="5"/>
    </row>
    <row r="19" spans="2:10" x14ac:dyDescent="0.3">
      <c r="B19" s="47" t="s">
        <v>242</v>
      </c>
      <c r="C19" s="7">
        <f>(C6-((C11*(C14-1))+(C18)))/2</f>
        <v>3.5</v>
      </c>
    </row>
    <row r="24" spans="2:10" x14ac:dyDescent="0.3">
      <c r="B24" s="314" t="s">
        <v>231</v>
      </c>
      <c r="C24" s="315"/>
      <c r="E24" s="314" t="s">
        <v>407</v>
      </c>
      <c r="F24" s="344"/>
      <c r="G24" s="344"/>
      <c r="H24" s="344"/>
      <c r="I24" s="344"/>
      <c r="J24" s="315"/>
    </row>
    <row r="25" spans="2:10" x14ac:dyDescent="0.3">
      <c r="B25" s="103" t="s">
        <v>244</v>
      </c>
      <c r="C25" s="104">
        <v>10</v>
      </c>
      <c r="E25" s="359" t="s">
        <v>408</v>
      </c>
      <c r="F25" s="359" t="s">
        <v>400</v>
      </c>
      <c r="G25" s="361"/>
      <c r="H25" s="361"/>
      <c r="I25" s="401" t="s">
        <v>401</v>
      </c>
      <c r="J25" s="399" t="s">
        <v>417</v>
      </c>
    </row>
    <row r="26" spans="2:10" x14ac:dyDescent="0.3">
      <c r="B26" s="100" t="s">
        <v>430</v>
      </c>
      <c r="C26" s="105">
        <v>0.2016</v>
      </c>
      <c r="E26" s="360"/>
      <c r="F26" s="4" t="s">
        <v>383</v>
      </c>
      <c r="G26" s="1" t="s">
        <v>384</v>
      </c>
      <c r="H26" s="1" t="s">
        <v>385</v>
      </c>
      <c r="I26" s="402"/>
      <c r="J26" s="400"/>
    </row>
    <row r="27" spans="2:10" x14ac:dyDescent="0.3">
      <c r="B27" s="100" t="s">
        <v>176</v>
      </c>
      <c r="C27" s="106">
        <v>0.05</v>
      </c>
      <c r="E27" s="175" t="s">
        <v>300</v>
      </c>
      <c r="F27" s="100">
        <v>0</v>
      </c>
      <c r="G27" s="166">
        <v>30</v>
      </c>
      <c r="H27" s="166">
        <v>50</v>
      </c>
      <c r="I27" s="171">
        <v>2</v>
      </c>
      <c r="J27" s="275">
        <f>G27/H27</f>
        <v>0.6</v>
      </c>
    </row>
    <row r="28" spans="2:10" x14ac:dyDescent="0.3">
      <c r="B28" s="100" t="s">
        <v>245</v>
      </c>
      <c r="C28" s="108">
        <v>5.0000000000000001E-3</v>
      </c>
      <c r="E28" s="176" t="s">
        <v>301</v>
      </c>
      <c r="F28" s="169">
        <v>0</v>
      </c>
      <c r="G28" s="170">
        <v>30</v>
      </c>
      <c r="H28" s="170">
        <v>50</v>
      </c>
      <c r="I28" s="172">
        <v>2</v>
      </c>
      <c r="J28" s="276">
        <f>G28/H28</f>
        <v>0.6</v>
      </c>
    </row>
    <row r="29" spans="2:10" x14ac:dyDescent="0.3">
      <c r="B29" s="100" t="s">
        <v>246</v>
      </c>
      <c r="C29" s="108">
        <v>6.0000000000000001E-3</v>
      </c>
    </row>
    <row r="30" spans="2:10" x14ac:dyDescent="0.3">
      <c r="B30" s="6" t="s">
        <v>376</v>
      </c>
      <c r="C30" s="153">
        <v>0.05</v>
      </c>
    </row>
  </sheetData>
  <mergeCells count="11">
    <mergeCell ref="J25:J26"/>
    <mergeCell ref="E24:J24"/>
    <mergeCell ref="F25:H25"/>
    <mergeCell ref="I25:I26"/>
    <mergeCell ref="E25:E26"/>
    <mergeCell ref="B24:C24"/>
    <mergeCell ref="A1:E1"/>
    <mergeCell ref="B3:C3"/>
    <mergeCell ref="B5:C5"/>
    <mergeCell ref="D12:O12"/>
    <mergeCell ref="D9:O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257C-288A-604C-A7AA-301B69ADAA5E}">
  <dimension ref="A1:K40"/>
  <sheetViews>
    <sheetView workbookViewId="0">
      <selection activeCell="G5" sqref="G5"/>
    </sheetView>
  </sheetViews>
  <sheetFormatPr defaultColWidth="11.19921875" defaultRowHeight="15.6" x14ac:dyDescent="0.3"/>
  <cols>
    <col min="1" max="1" width="44.796875" customWidth="1"/>
    <col min="2" max="2" width="15.69921875" bestFit="1" customWidth="1"/>
    <col min="3" max="3" width="21.296875" customWidth="1"/>
    <col min="4" max="4" width="18.296875" bestFit="1" customWidth="1"/>
    <col min="5" max="5" width="23" bestFit="1" customWidth="1"/>
    <col min="6" max="7" width="18.296875" customWidth="1"/>
    <col min="9" max="9" width="29.296875" bestFit="1" customWidth="1"/>
    <col min="10" max="10" width="14.5" bestFit="1" customWidth="1"/>
    <col min="11" max="11" width="19.19921875" bestFit="1" customWidth="1"/>
    <col min="12" max="12" width="19.296875" bestFit="1" customWidth="1"/>
    <col min="14" max="14" width="25" customWidth="1"/>
  </cols>
  <sheetData>
    <row r="1" spans="1:11" x14ac:dyDescent="0.3">
      <c r="A1" s="394" t="s">
        <v>2</v>
      </c>
      <c r="B1" s="394"/>
      <c r="C1" s="394"/>
      <c r="D1" s="394"/>
      <c r="E1" s="394"/>
      <c r="F1" s="393"/>
      <c r="G1" s="21"/>
      <c r="H1" s="8"/>
      <c r="I1" s="392" t="s">
        <v>91</v>
      </c>
      <c r="J1" s="393"/>
      <c r="K1" s="3"/>
    </row>
    <row r="2" spans="1:11" x14ac:dyDescent="0.3">
      <c r="A2" s="9" t="s">
        <v>0</v>
      </c>
      <c r="B2" s="1" t="s">
        <v>5</v>
      </c>
      <c r="C2" s="1" t="s">
        <v>19</v>
      </c>
      <c r="D2" s="9" t="s">
        <v>16</v>
      </c>
      <c r="E2" s="51" t="s">
        <v>174</v>
      </c>
      <c r="F2" s="11" t="s">
        <v>175</v>
      </c>
      <c r="G2" s="15" t="s">
        <v>176</v>
      </c>
      <c r="I2" s="5" t="s">
        <v>9</v>
      </c>
      <c r="J2" s="8">
        <f>'Insert Dimensions &amp; Rates'!C6</f>
        <v>25</v>
      </c>
    </row>
    <row r="3" spans="1:11" x14ac:dyDescent="0.3">
      <c r="A3" s="8" t="s">
        <v>1</v>
      </c>
      <c r="B3" s="33">
        <f>4*J7</f>
        <v>12</v>
      </c>
      <c r="C3" s="287">
        <v>10</v>
      </c>
      <c r="D3" s="13">
        <f>C3*B3</f>
        <v>120</v>
      </c>
      <c r="E3" s="289">
        <v>30</v>
      </c>
      <c r="F3" s="13">
        <f>PMT($G$3,E3,-D3)</f>
        <v>7.8061722096331891</v>
      </c>
      <c r="G3" s="107">
        <f>'Insert Dimensions &amp; Rates'!C27</f>
        <v>0.05</v>
      </c>
      <c r="I3" s="38" t="s">
        <v>10</v>
      </c>
      <c r="J3" s="39">
        <f>'Insert Dimensions &amp; Rates'!C7</f>
        <v>180</v>
      </c>
    </row>
    <row r="4" spans="1:11" x14ac:dyDescent="0.3">
      <c r="A4" s="8" t="s">
        <v>3</v>
      </c>
      <c r="B4" s="33">
        <f>ROUNDUP((J4/J6+1)*J7,0)</f>
        <v>35</v>
      </c>
      <c r="C4" s="287">
        <v>7.97</v>
      </c>
      <c r="D4" s="13">
        <f>C4*B4</f>
        <v>278.95</v>
      </c>
      <c r="E4" s="289">
        <v>30</v>
      </c>
      <c r="F4" s="13">
        <f t="shared" ref="F4:F25" si="0">PMT($G$3,E4,-D4)</f>
        <v>18.146097815643152</v>
      </c>
      <c r="G4" s="14"/>
      <c r="I4" s="5" t="s">
        <v>11</v>
      </c>
      <c r="J4" s="8">
        <f>'Insert Dimensions &amp; Rates'!C9</f>
        <v>156</v>
      </c>
    </row>
    <row r="5" spans="1:11" x14ac:dyDescent="0.3">
      <c r="A5" s="8" t="s">
        <v>243</v>
      </c>
      <c r="B5" s="33">
        <f>B4</f>
        <v>35</v>
      </c>
      <c r="C5" s="287">
        <v>2.41</v>
      </c>
      <c r="D5" s="13">
        <f>C5*B5</f>
        <v>84.350000000000009</v>
      </c>
      <c r="E5" s="289">
        <v>30</v>
      </c>
      <c r="F5" s="13">
        <f t="shared" si="0"/>
        <v>5.4870885490213297</v>
      </c>
      <c r="G5" s="14"/>
      <c r="I5" s="5" t="s">
        <v>77</v>
      </c>
      <c r="J5" s="8">
        <f>'Insert Dimensions &amp; Rates'!C11</f>
        <v>8</v>
      </c>
    </row>
    <row r="6" spans="1:11" x14ac:dyDescent="0.3">
      <c r="A6" s="8" t="s">
        <v>4</v>
      </c>
      <c r="B6" s="33">
        <f>B5*2</f>
        <v>70</v>
      </c>
      <c r="C6" s="287">
        <v>3.5</v>
      </c>
      <c r="D6" s="13">
        <f t="shared" ref="D6:D25" si="1">C6*B6</f>
        <v>245</v>
      </c>
      <c r="E6" s="289">
        <v>30</v>
      </c>
      <c r="F6" s="13">
        <f t="shared" si="0"/>
        <v>15.937601594667763</v>
      </c>
      <c r="G6" s="14"/>
      <c r="I6" s="5" t="s">
        <v>12</v>
      </c>
      <c r="J6" s="8">
        <f>'Insert Dimensions &amp; Rates'!C13</f>
        <v>15</v>
      </c>
      <c r="K6" s="97"/>
    </row>
    <row r="7" spans="1:11" x14ac:dyDescent="0.3">
      <c r="A7" s="8" t="s">
        <v>17</v>
      </c>
      <c r="B7" s="33">
        <f>(J3*J7)+(30*J7)</f>
        <v>630</v>
      </c>
      <c r="C7" s="287">
        <f>15.98/170</f>
        <v>9.4E-2</v>
      </c>
      <c r="D7" s="13">
        <f t="shared" si="1"/>
        <v>59.22</v>
      </c>
      <c r="E7" s="289">
        <v>30</v>
      </c>
      <c r="F7" s="13">
        <f t="shared" si="0"/>
        <v>3.852345985453979</v>
      </c>
      <c r="G7" s="14"/>
      <c r="I7" s="6" t="s">
        <v>13</v>
      </c>
      <c r="J7" s="7">
        <f>'Insert Dimensions &amp; Rates'!C14</f>
        <v>3</v>
      </c>
    </row>
    <row r="8" spans="1:11" x14ac:dyDescent="0.3">
      <c r="A8" s="8" t="s">
        <v>18</v>
      </c>
      <c r="B8" s="33">
        <f>J3*J7</f>
        <v>540</v>
      </c>
      <c r="C8" s="287">
        <f>14.99/392</f>
        <v>3.8239795918367347E-2</v>
      </c>
      <c r="D8" s="13">
        <f t="shared" si="1"/>
        <v>20.649489795918367</v>
      </c>
      <c r="E8" s="289">
        <v>30</v>
      </c>
      <c r="F8" s="13">
        <f t="shared" si="0"/>
        <v>1.3432789449000175</v>
      </c>
      <c r="G8" s="14"/>
      <c r="I8" s="22"/>
    </row>
    <row r="9" spans="1:11" x14ac:dyDescent="0.3">
      <c r="A9" s="8" t="s">
        <v>351</v>
      </c>
      <c r="B9" s="33">
        <f>4*J7</f>
        <v>12</v>
      </c>
      <c r="C9" s="287">
        <f>27.31/4</f>
        <v>6.8274999999999997</v>
      </c>
      <c r="D9" s="13">
        <f t="shared" si="1"/>
        <v>81.929999999999993</v>
      </c>
      <c r="E9" s="289">
        <v>30</v>
      </c>
      <c r="F9" s="13">
        <f t="shared" si="0"/>
        <v>5.3296640761270595</v>
      </c>
      <c r="G9" s="14"/>
    </row>
    <row r="10" spans="1:11" x14ac:dyDescent="0.3">
      <c r="A10" s="8" t="s">
        <v>41</v>
      </c>
      <c r="B10" s="33">
        <f>4*J7</f>
        <v>12</v>
      </c>
      <c r="C10" s="287">
        <v>3.66</v>
      </c>
      <c r="D10" s="13">
        <f t="shared" si="1"/>
        <v>43.92</v>
      </c>
      <c r="E10" s="289">
        <v>30</v>
      </c>
      <c r="F10" s="13">
        <f t="shared" si="0"/>
        <v>2.8570590287257476</v>
      </c>
      <c r="G10" s="14"/>
    </row>
    <row r="11" spans="1:11" x14ac:dyDescent="0.3">
      <c r="A11" s="8" t="s">
        <v>40</v>
      </c>
      <c r="B11" s="33">
        <f>J7*2</f>
        <v>6</v>
      </c>
      <c r="C11" s="287">
        <v>5.68</v>
      </c>
      <c r="D11" s="13">
        <f t="shared" si="1"/>
        <v>34.08</v>
      </c>
      <c r="E11" s="289">
        <v>30</v>
      </c>
      <c r="F11" s="13">
        <f t="shared" si="0"/>
        <v>2.2169529075358256</v>
      </c>
      <c r="G11" s="14"/>
    </row>
    <row r="12" spans="1:11" x14ac:dyDescent="0.3">
      <c r="A12" s="8" t="s">
        <v>39</v>
      </c>
      <c r="B12" s="33">
        <f>B4</f>
        <v>35</v>
      </c>
      <c r="C12" s="287">
        <v>2.6</v>
      </c>
      <c r="D12" s="13">
        <f t="shared" si="1"/>
        <v>91</v>
      </c>
      <c r="E12" s="289">
        <v>30</v>
      </c>
      <c r="F12" s="13">
        <f t="shared" si="0"/>
        <v>5.919680592305169</v>
      </c>
      <c r="G12" s="14"/>
    </row>
    <row r="13" spans="1:11" x14ac:dyDescent="0.3">
      <c r="A13" s="8" t="s">
        <v>60</v>
      </c>
      <c r="B13" s="33">
        <f>ROUNDUP($B$6/25,0)</f>
        <v>3</v>
      </c>
      <c r="C13" s="287">
        <v>5.4</v>
      </c>
      <c r="D13" s="13">
        <f t="shared" si="1"/>
        <v>16.200000000000003</v>
      </c>
      <c r="E13" s="289">
        <v>30</v>
      </c>
      <c r="F13" s="13">
        <f t="shared" si="0"/>
        <v>1.0538332483004809</v>
      </c>
      <c r="G13" s="14"/>
    </row>
    <row r="14" spans="1:11" x14ac:dyDescent="0.3">
      <c r="A14" s="8" t="s">
        <v>177</v>
      </c>
      <c r="B14" s="33">
        <f>ROUNDUP($B$4/25,0)</f>
        <v>2</v>
      </c>
      <c r="C14" s="287">
        <v>6.41</v>
      </c>
      <c r="D14" s="13">
        <f t="shared" si="1"/>
        <v>12.82</v>
      </c>
      <c r="E14" s="289">
        <v>30</v>
      </c>
      <c r="F14" s="13">
        <f t="shared" si="0"/>
        <v>0.83395939772914573</v>
      </c>
      <c r="G14" s="14"/>
    </row>
    <row r="15" spans="1:11" x14ac:dyDescent="0.3">
      <c r="A15" s="8" t="s">
        <v>178</v>
      </c>
      <c r="B15" s="33">
        <f>ROUNDUP($B$6/25,0)</f>
        <v>3</v>
      </c>
      <c r="C15" s="287">
        <v>6.41</v>
      </c>
      <c r="D15" s="13">
        <f t="shared" si="1"/>
        <v>19.23</v>
      </c>
      <c r="E15" s="289">
        <v>30</v>
      </c>
      <c r="F15" s="13">
        <f t="shared" si="0"/>
        <v>1.2509390965937186</v>
      </c>
      <c r="G15" s="14"/>
    </row>
    <row r="16" spans="1:11" x14ac:dyDescent="0.3">
      <c r="A16" s="8" t="s">
        <v>179</v>
      </c>
      <c r="B16" s="33">
        <f>ROUNDUP($B$4/25,0)</f>
        <v>2</v>
      </c>
      <c r="C16" s="287">
        <v>6.41</v>
      </c>
      <c r="D16" s="13">
        <f t="shared" si="1"/>
        <v>12.82</v>
      </c>
      <c r="E16" s="289">
        <v>30</v>
      </c>
      <c r="F16" s="13">
        <f t="shared" si="0"/>
        <v>0.83395939772914573</v>
      </c>
      <c r="G16" s="14"/>
    </row>
    <row r="17" spans="1:10" x14ac:dyDescent="0.3">
      <c r="A17" s="8" t="s">
        <v>180</v>
      </c>
      <c r="B17" s="33">
        <f>ROUNDUP($B$6/25,0)</f>
        <v>3</v>
      </c>
      <c r="C17" s="287">
        <v>6.41</v>
      </c>
      <c r="D17" s="13">
        <f t="shared" si="1"/>
        <v>19.23</v>
      </c>
      <c r="E17" s="289">
        <v>30</v>
      </c>
      <c r="F17" s="13">
        <f t="shared" si="0"/>
        <v>1.2509390965937186</v>
      </c>
      <c r="G17" s="14"/>
    </row>
    <row r="18" spans="1:10" x14ac:dyDescent="0.3">
      <c r="A18" s="8" t="s">
        <v>181</v>
      </c>
      <c r="B18" s="33">
        <f>ROUNDUP($B$4/25,0)</f>
        <v>2</v>
      </c>
      <c r="C18" s="287">
        <v>37.35</v>
      </c>
      <c r="D18" s="13">
        <f t="shared" si="1"/>
        <v>74.7</v>
      </c>
      <c r="E18" s="289">
        <v>30</v>
      </c>
      <c r="F18" s="13">
        <f t="shared" si="0"/>
        <v>4.8593422004966609</v>
      </c>
      <c r="G18" s="14"/>
    </row>
    <row r="19" spans="1:10" x14ac:dyDescent="0.3">
      <c r="A19" s="97" t="s">
        <v>325</v>
      </c>
      <c r="B19" s="286">
        <v>1</v>
      </c>
      <c r="C19" s="287">
        <v>699.95</v>
      </c>
      <c r="D19" s="13">
        <f t="shared" si="1"/>
        <v>699.95</v>
      </c>
      <c r="E19" s="289">
        <v>30</v>
      </c>
      <c r="F19" s="13">
        <f t="shared" si="0"/>
        <v>45.532751984439599</v>
      </c>
      <c r="G19" s="14"/>
    </row>
    <row r="20" spans="1:10" x14ac:dyDescent="0.3">
      <c r="A20" s="97" t="s">
        <v>326</v>
      </c>
      <c r="B20" s="286">
        <v>1</v>
      </c>
      <c r="C20" s="287">
        <v>19.93</v>
      </c>
      <c r="D20" s="13">
        <f t="shared" si="1"/>
        <v>19.93</v>
      </c>
      <c r="E20" s="289">
        <v>30</v>
      </c>
      <c r="F20" s="13">
        <f t="shared" si="0"/>
        <v>1.2964751011499123</v>
      </c>
      <c r="G20" s="14"/>
    </row>
    <row r="21" spans="1:10" x14ac:dyDescent="0.3">
      <c r="A21" s="8" t="s">
        <v>305</v>
      </c>
      <c r="B21" s="33">
        <f>'Insert Dimensions &amp; Rates'!C17</f>
        <v>62</v>
      </c>
      <c r="C21" s="287">
        <v>1.65</v>
      </c>
      <c r="D21" s="13">
        <f t="shared" si="1"/>
        <v>102.3</v>
      </c>
      <c r="E21" s="289">
        <v>15</v>
      </c>
      <c r="F21" s="13">
        <f t="shared" si="0"/>
        <v>9.8558160224256994</v>
      </c>
      <c r="G21" s="14"/>
    </row>
    <row r="22" spans="1:10" x14ac:dyDescent="0.3">
      <c r="A22" s="283" t="s">
        <v>421</v>
      </c>
      <c r="B22" s="33">
        <f>'Insert Dimensions &amp; Rates'!C12*'Insert Dimensions &amp; Rates'!C14</f>
        <v>468</v>
      </c>
      <c r="C22" s="287">
        <f>(100/250)+(312.8/468)</f>
        <v>1.0683760683760686</v>
      </c>
      <c r="D22" s="13">
        <f>C22*B22</f>
        <v>500.00000000000011</v>
      </c>
      <c r="E22" s="289">
        <v>20</v>
      </c>
      <c r="F22" s="13">
        <f t="shared" si="0"/>
        <v>40.121293595345662</v>
      </c>
      <c r="G22" s="14"/>
    </row>
    <row r="23" spans="1:10" x14ac:dyDescent="0.3">
      <c r="A23" s="8" t="s">
        <v>27</v>
      </c>
      <c r="B23" s="33">
        <f>J3*J7</f>
        <v>540</v>
      </c>
      <c r="C23" s="287">
        <f>10.98/800</f>
        <v>1.3725000000000001E-2</v>
      </c>
      <c r="D23" s="13">
        <f t="shared" si="1"/>
        <v>7.4115000000000002</v>
      </c>
      <c r="E23" s="289">
        <v>15</v>
      </c>
      <c r="F23" s="13">
        <f t="shared" si="0"/>
        <v>0.71404086461591465</v>
      </c>
      <c r="G23" s="50"/>
    </row>
    <row r="24" spans="1:10" x14ac:dyDescent="0.3">
      <c r="A24" s="8" t="s">
        <v>61</v>
      </c>
      <c r="B24" s="33">
        <f>ROUNDUP(B23/50,0)</f>
        <v>11</v>
      </c>
      <c r="C24" s="287">
        <v>0.3</v>
      </c>
      <c r="D24" s="13">
        <f t="shared" si="1"/>
        <v>3.3</v>
      </c>
      <c r="E24" s="289">
        <v>10</v>
      </c>
      <c r="F24" s="13">
        <f t="shared" si="0"/>
        <v>0.42736509738600703</v>
      </c>
      <c r="G24" s="3"/>
    </row>
    <row r="25" spans="1:10" x14ac:dyDescent="0.3">
      <c r="A25" s="7" t="s">
        <v>26</v>
      </c>
      <c r="B25" s="66">
        <v>1</v>
      </c>
      <c r="C25" s="288">
        <v>3.28</v>
      </c>
      <c r="D25" s="28">
        <f t="shared" si="1"/>
        <v>3.28</v>
      </c>
      <c r="E25" s="290">
        <v>30</v>
      </c>
      <c r="F25" s="28">
        <f t="shared" si="0"/>
        <v>0.21336870706330716</v>
      </c>
      <c r="G25" s="12"/>
      <c r="I25" s="20"/>
    </row>
    <row r="26" spans="1:10" ht="16.2" thickBot="1" x14ac:dyDescent="0.35">
      <c r="A26" s="3"/>
      <c r="B26" s="3"/>
      <c r="C26" s="36" t="s">
        <v>15</v>
      </c>
      <c r="D26" s="37">
        <f>SUM(D3:D25)</f>
        <v>2550.2709897959189</v>
      </c>
      <c r="E26" s="53" t="s">
        <v>182</v>
      </c>
      <c r="F26" s="42">
        <f>SUM(F3:F25)</f>
        <v>177.14002551388216</v>
      </c>
      <c r="G26" s="14"/>
      <c r="I26" s="20"/>
      <c r="J26" s="3"/>
    </row>
    <row r="27" spans="1:10" ht="16.2" thickTop="1" x14ac:dyDescent="0.3">
      <c r="A27" s="3"/>
      <c r="B27" s="3"/>
      <c r="C27" s="12"/>
      <c r="D27" s="3"/>
      <c r="E27" s="3"/>
      <c r="F27" s="3"/>
      <c r="G27" s="14"/>
    </row>
    <row r="28" spans="1:10" x14ac:dyDescent="0.3">
      <c r="B28" s="27"/>
      <c r="C28" s="27"/>
      <c r="G28" s="14"/>
    </row>
    <row r="29" spans="1:10" x14ac:dyDescent="0.3">
      <c r="G29" s="14"/>
    </row>
    <row r="30" spans="1:10" x14ac:dyDescent="0.3">
      <c r="G30" s="14"/>
    </row>
    <row r="31" spans="1:10" x14ac:dyDescent="0.3">
      <c r="G31" s="14"/>
    </row>
    <row r="32" spans="1:10" x14ac:dyDescent="0.3">
      <c r="G32" s="14"/>
    </row>
    <row r="33" spans="7:7" x14ac:dyDescent="0.3">
      <c r="G33" s="14"/>
    </row>
    <row r="34" spans="7:7" x14ac:dyDescent="0.3">
      <c r="G34" s="14"/>
    </row>
    <row r="35" spans="7:7" x14ac:dyDescent="0.3">
      <c r="G35" s="14"/>
    </row>
    <row r="36" spans="7:7" x14ac:dyDescent="0.3">
      <c r="G36" s="14"/>
    </row>
    <row r="37" spans="7:7" x14ac:dyDescent="0.3">
      <c r="G37" s="14"/>
    </row>
    <row r="38" spans="7:7" x14ac:dyDescent="0.3">
      <c r="G38" s="50"/>
    </row>
    <row r="39" spans="7:7" x14ac:dyDescent="0.3">
      <c r="G39" s="49"/>
    </row>
    <row r="40" spans="7:7" x14ac:dyDescent="0.3">
      <c r="G40" s="54"/>
    </row>
  </sheetData>
  <mergeCells count="2">
    <mergeCell ref="A1:F1"/>
    <mergeCell ref="I1:J1"/>
  </mergeCells>
  <pageMargins left="0.7" right="0.7" top="0.75" bottom="0.75" header="0.3" footer="0.3"/>
  <ignoredErrors>
    <ignoredError sqref="B14:B1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E6DC-BF2B-B14B-9B4A-BBF8156B28A4}">
  <dimension ref="A1:I24"/>
  <sheetViews>
    <sheetView workbookViewId="0">
      <selection activeCell="H3" sqref="H3"/>
    </sheetView>
  </sheetViews>
  <sheetFormatPr defaultColWidth="11.19921875" defaultRowHeight="15.6" x14ac:dyDescent="0.3"/>
  <cols>
    <col min="1" max="1" width="34" bestFit="1" customWidth="1"/>
    <col min="3" max="3" width="14.69921875" bestFit="1" customWidth="1"/>
    <col min="6" max="6" width="20.19921875" bestFit="1" customWidth="1"/>
    <col min="7" max="7" width="12.796875" customWidth="1"/>
    <col min="8" max="8" width="17" customWidth="1"/>
  </cols>
  <sheetData>
    <row r="1" spans="1:9" x14ac:dyDescent="0.3">
      <c r="A1" s="394" t="s">
        <v>28</v>
      </c>
      <c r="B1" s="394"/>
      <c r="C1" s="394"/>
      <c r="D1" s="394"/>
      <c r="E1" s="393"/>
      <c r="F1" s="49"/>
      <c r="G1" s="392" t="s">
        <v>91</v>
      </c>
      <c r="H1" s="393"/>
      <c r="I1" s="5"/>
    </row>
    <row r="2" spans="1:9" x14ac:dyDescent="0.3">
      <c r="A2" s="9" t="s">
        <v>31</v>
      </c>
      <c r="B2" s="1" t="s">
        <v>32</v>
      </c>
      <c r="C2" s="1" t="s">
        <v>34</v>
      </c>
      <c r="D2" s="403" t="s">
        <v>79</v>
      </c>
      <c r="E2" s="384"/>
      <c r="G2" s="34" t="s">
        <v>10</v>
      </c>
      <c r="H2" s="35">
        <f>'GDC Materials'!J3</f>
        <v>180</v>
      </c>
      <c r="I2" s="5"/>
    </row>
    <row r="3" spans="1:9" x14ac:dyDescent="0.3">
      <c r="A3" s="8" t="s">
        <v>29</v>
      </c>
      <c r="B3" s="291">
        <v>1</v>
      </c>
      <c r="C3" t="s">
        <v>49</v>
      </c>
      <c r="D3" s="32">
        <f>B3*'GDC Materials'!B24</f>
        <v>11</v>
      </c>
      <c r="E3" s="8" t="s">
        <v>32</v>
      </c>
      <c r="G3" s="6" t="s">
        <v>9</v>
      </c>
      <c r="H3" s="2">
        <f>'GDC Materials'!J2</f>
        <v>25</v>
      </c>
      <c r="I3" s="5"/>
    </row>
    <row r="4" spans="1:9" x14ac:dyDescent="0.3">
      <c r="A4" s="8" t="s">
        <v>30</v>
      </c>
      <c r="B4" s="292">
        <f>5/H2</f>
        <v>2.7777777777777776E-2</v>
      </c>
      <c r="C4" t="s">
        <v>54</v>
      </c>
      <c r="D4" s="32">
        <f>B4*'GDC Materials'!J3*'GDC Materials'!J7</f>
        <v>15</v>
      </c>
      <c r="E4" s="8" t="s">
        <v>32</v>
      </c>
    </row>
    <row r="5" spans="1:9" x14ac:dyDescent="0.3">
      <c r="A5" s="8" t="s">
        <v>50</v>
      </c>
      <c r="B5" s="291">
        <v>0.5</v>
      </c>
      <c r="C5" t="s">
        <v>44</v>
      </c>
      <c r="D5" s="32">
        <f>('GDC Materials'!B4+'GDC Materials'!B3)*'GDC Labor'!B5</f>
        <v>23.5</v>
      </c>
      <c r="E5" s="8" t="s">
        <v>32</v>
      </c>
    </row>
    <row r="6" spans="1:9" x14ac:dyDescent="0.3">
      <c r="A6" s="8" t="s">
        <v>36</v>
      </c>
      <c r="B6" s="291">
        <v>3</v>
      </c>
      <c r="C6" t="s">
        <v>224</v>
      </c>
      <c r="D6" s="32">
        <f>B6*'GDC Materials'!J7</f>
        <v>9</v>
      </c>
      <c r="E6" s="8" t="s">
        <v>32</v>
      </c>
    </row>
    <row r="7" spans="1:9" x14ac:dyDescent="0.3">
      <c r="A7" s="8" t="s">
        <v>46</v>
      </c>
      <c r="B7" s="292">
        <f>10/60</f>
        <v>0.16666666666666666</v>
      </c>
      <c r="C7" t="s">
        <v>44</v>
      </c>
      <c r="D7" s="32">
        <f>B7*'GDC Materials'!B4</f>
        <v>5.833333333333333</v>
      </c>
      <c r="E7" s="8" t="s">
        <v>32</v>
      </c>
    </row>
    <row r="8" spans="1:9" x14ac:dyDescent="0.3">
      <c r="A8" s="8" t="s">
        <v>52</v>
      </c>
      <c r="B8" s="292">
        <f>B7</f>
        <v>0.16666666666666666</v>
      </c>
      <c r="C8" t="s">
        <v>44</v>
      </c>
      <c r="D8" s="32">
        <f>B8*'GDC Materials'!B4</f>
        <v>5.833333333333333</v>
      </c>
      <c r="E8" s="8" t="s">
        <v>32</v>
      </c>
    </row>
    <row r="9" spans="1:9" x14ac:dyDescent="0.3">
      <c r="A9" s="8" t="s">
        <v>37</v>
      </c>
      <c r="B9" s="291">
        <v>4</v>
      </c>
      <c r="C9" t="s">
        <v>44</v>
      </c>
      <c r="D9" s="32">
        <f>B9*'GDC Materials'!B4</f>
        <v>140</v>
      </c>
      <c r="E9" s="8" t="s">
        <v>32</v>
      </c>
    </row>
    <row r="10" spans="1:9" x14ac:dyDescent="0.3">
      <c r="A10" s="8" t="s">
        <v>38</v>
      </c>
      <c r="B10" s="291">
        <v>5</v>
      </c>
      <c r="C10" t="s">
        <v>44</v>
      </c>
      <c r="D10" s="32">
        <f>B10*'GDC Materials'!B3</f>
        <v>60</v>
      </c>
      <c r="E10" s="8" t="s">
        <v>32</v>
      </c>
    </row>
    <row r="11" spans="1:9" x14ac:dyDescent="0.3">
      <c r="A11" s="8" t="s">
        <v>55</v>
      </c>
      <c r="B11" s="291">
        <v>2.5</v>
      </c>
      <c r="C11" t="s">
        <v>53</v>
      </c>
      <c r="D11" s="32">
        <f>B11*'GDC Materials'!B3</f>
        <v>30</v>
      </c>
      <c r="E11" s="8" t="s">
        <v>32</v>
      </c>
    </row>
    <row r="12" spans="1:9" x14ac:dyDescent="0.3">
      <c r="A12" s="8" t="s">
        <v>43</v>
      </c>
      <c r="B12" s="291">
        <v>0.75</v>
      </c>
      <c r="C12" t="s">
        <v>44</v>
      </c>
      <c r="D12" s="32">
        <f>B12*'GDC Materials'!B4</f>
        <v>26.25</v>
      </c>
      <c r="E12" s="8" t="s">
        <v>32</v>
      </c>
    </row>
    <row r="13" spans="1:9" x14ac:dyDescent="0.3">
      <c r="A13" s="8" t="s">
        <v>51</v>
      </c>
      <c r="B13" s="291">
        <v>4</v>
      </c>
      <c r="C13" t="s">
        <v>44</v>
      </c>
      <c r="D13" s="32">
        <f>B13*'GDC Materials'!B4</f>
        <v>140</v>
      </c>
      <c r="E13" s="8" t="s">
        <v>32</v>
      </c>
    </row>
    <row r="14" spans="1:9" x14ac:dyDescent="0.3">
      <c r="A14" s="8" t="s">
        <v>47</v>
      </c>
      <c r="B14" s="292">
        <f>10/H2</f>
        <v>5.5555555555555552E-2</v>
      </c>
      <c r="C14" t="s">
        <v>54</v>
      </c>
      <c r="D14" s="32">
        <f>B14*'GDC Materials'!J3*'GDC Materials'!J7</f>
        <v>30</v>
      </c>
      <c r="E14" s="8" t="s">
        <v>32</v>
      </c>
    </row>
    <row r="15" spans="1:9" x14ac:dyDescent="0.3">
      <c r="A15" s="8" t="s">
        <v>48</v>
      </c>
      <c r="B15" s="292">
        <f>10/H2</f>
        <v>5.5555555555555552E-2</v>
      </c>
      <c r="C15" s="3" t="s">
        <v>54</v>
      </c>
      <c r="D15" s="32">
        <f>B15*'GDC Materials'!J3*'GDC Materials'!J7</f>
        <v>30</v>
      </c>
      <c r="E15" s="8" t="s">
        <v>32</v>
      </c>
    </row>
    <row r="16" spans="1:9" x14ac:dyDescent="0.3">
      <c r="A16" s="8" t="s">
        <v>57</v>
      </c>
      <c r="B16" s="293">
        <v>2</v>
      </c>
      <c r="C16" s="19" t="s">
        <v>56</v>
      </c>
      <c r="D16" s="32">
        <f>B16*'GDC Materials'!B3</f>
        <v>24</v>
      </c>
      <c r="E16" s="8" t="s">
        <v>32</v>
      </c>
    </row>
    <row r="17" spans="1:6" x14ac:dyDescent="0.3">
      <c r="A17" s="8" t="s">
        <v>420</v>
      </c>
      <c r="B17" s="294">
        <f>(300/528)</f>
        <v>0.56818181818181823</v>
      </c>
      <c r="C17" s="19" t="s">
        <v>54</v>
      </c>
      <c r="D17" s="32">
        <f>B17*'GDC Materials'!B22</f>
        <v>265.90909090909093</v>
      </c>
      <c r="E17" s="8" t="s">
        <v>32</v>
      </c>
    </row>
    <row r="18" spans="1:6" x14ac:dyDescent="0.3">
      <c r="A18" s="8" t="s">
        <v>329</v>
      </c>
      <c r="B18" s="293">
        <v>8</v>
      </c>
      <c r="C18" s="19" t="s">
        <v>328</v>
      </c>
      <c r="D18" s="32">
        <f>B18*'Insert Dimensions &amp; Rates'!C17</f>
        <v>496</v>
      </c>
      <c r="E18" s="8" t="s">
        <v>32</v>
      </c>
    </row>
    <row r="19" spans="1:6" x14ac:dyDescent="0.3">
      <c r="A19" s="31" t="s">
        <v>58</v>
      </c>
      <c r="B19" s="295">
        <v>2</v>
      </c>
      <c r="C19" s="2" t="s">
        <v>59</v>
      </c>
      <c r="D19" s="25">
        <f>B19*'GDC Materials'!B11</f>
        <v>12</v>
      </c>
      <c r="E19" s="7" t="s">
        <v>32</v>
      </c>
    </row>
    <row r="20" spans="1:6" x14ac:dyDescent="0.3">
      <c r="C20" s="69" t="s">
        <v>35</v>
      </c>
      <c r="D20" s="268">
        <f>ROUNDUP(SUM(D3:D19)/60,0)</f>
        <v>23</v>
      </c>
      <c r="E20" s="68" t="s">
        <v>33</v>
      </c>
      <c r="F20" s="278" t="s">
        <v>228</v>
      </c>
    </row>
    <row r="21" spans="1:6" x14ac:dyDescent="0.3">
      <c r="C21" s="70" t="s">
        <v>227</v>
      </c>
      <c r="D21" s="73">
        <v>2</v>
      </c>
      <c r="E21" s="78"/>
    </row>
    <row r="22" spans="1:6" x14ac:dyDescent="0.3">
      <c r="C22" s="71" t="s">
        <v>229</v>
      </c>
      <c r="D22" s="79">
        <f>'Insert Dimensions &amp; Rates'!C25</f>
        <v>10</v>
      </c>
      <c r="E22" s="80"/>
    </row>
    <row r="23" spans="1:6" ht="16.2" thickBot="1" x14ac:dyDescent="0.35">
      <c r="C23" s="93" t="s">
        <v>230</v>
      </c>
      <c r="D23" s="94">
        <f>D22*D21*D20</f>
        <v>460</v>
      </c>
      <c r="E23" s="81"/>
    </row>
    <row r="24" spans="1:6" ht="16.2" thickTop="1" x14ac:dyDescent="0.3"/>
  </sheetData>
  <mergeCells count="3">
    <mergeCell ref="D2:E2"/>
    <mergeCell ref="A1:E1"/>
    <mergeCell ref="G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Front Page</vt:lpstr>
      <vt:lpstr>Budget</vt:lpstr>
      <vt:lpstr>Year 1 Cost</vt:lpstr>
      <vt:lpstr>Year 2 Cost</vt:lpstr>
      <vt:lpstr>Year 3 through 30 Cost</vt:lpstr>
      <vt:lpstr>Total Fixed Cost</vt:lpstr>
      <vt:lpstr>Insert Dimensions &amp; Rates</vt:lpstr>
      <vt:lpstr>GDC Materials</vt:lpstr>
      <vt:lpstr>GDC Labor</vt:lpstr>
      <vt:lpstr>Irrigation Materials</vt:lpstr>
      <vt:lpstr>Irrigation Labor</vt:lpstr>
      <vt:lpstr>High Tunnel Materials</vt:lpstr>
      <vt:lpstr>High Tunnel Labor</vt:lpstr>
      <vt:lpstr>Tools Necessary</vt:lpstr>
      <vt:lpstr>Labor Reference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Patterson</dc:creator>
  <cp:lastModifiedBy>Mike</cp:lastModifiedBy>
  <dcterms:created xsi:type="dcterms:W3CDTF">2020-06-23T23:55:57Z</dcterms:created>
  <dcterms:modified xsi:type="dcterms:W3CDTF">2021-04-25T22:53:10Z</dcterms:modified>
</cp:coreProperties>
</file>