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mot\Desktop\"/>
    </mc:Choice>
  </mc:AlternateContent>
  <bookViews>
    <workbookView xWindow="0" yWindow="50" windowWidth="15360" windowHeight="6250" activeTab="2"/>
  </bookViews>
  <sheets>
    <sheet name="Calculations" sheetId="1" r:id="rId1"/>
    <sheet name="Graphs" sheetId="2" r:id="rId2"/>
    <sheet name="Model" sheetId="3" r:id="rId3"/>
    <sheet name="Analysis" sheetId="4" r:id="rId4"/>
  </sheets>
  <calcPr calcId="171027"/>
</workbook>
</file>

<file path=xl/calcChain.xml><?xml version="1.0" encoding="utf-8"?>
<calcChain xmlns="http://schemas.openxmlformats.org/spreadsheetml/2006/main">
  <c r="X9" i="3" l="1"/>
  <c r="X8" i="3"/>
  <c r="X15" i="3"/>
  <c r="X14" i="3"/>
  <c r="M29" i="3"/>
  <c r="M28" i="3"/>
  <c r="M27" i="3"/>
  <c r="Q31" i="3" s="1"/>
  <c r="X20" i="3" l="1"/>
  <c r="X21" i="3"/>
  <c r="T30" i="3" l="1"/>
  <c r="T31" i="3"/>
  <c r="M31" i="3"/>
  <c r="L31" i="1" s="1"/>
  <c r="J5" i="4"/>
  <c r="J6" i="4"/>
  <c r="J7" i="4"/>
  <c r="J8" i="4"/>
  <c r="K40" i="4" s="1"/>
  <c r="J40" i="4" s="1"/>
  <c r="J9" i="4"/>
  <c r="K41" i="4" s="1"/>
  <c r="J41" i="4" s="1"/>
  <c r="J30" i="4"/>
  <c r="J29" i="4"/>
  <c r="J28" i="4"/>
  <c r="K39" i="4"/>
  <c r="J39" i="4" s="1"/>
  <c r="J27" i="4"/>
  <c r="J26" i="4"/>
  <c r="K38" i="4"/>
  <c r="J38" i="4" s="1"/>
  <c r="J16" i="4"/>
  <c r="J17" i="4"/>
  <c r="J18" i="4"/>
  <c r="J19" i="4"/>
  <c r="J15" i="4"/>
  <c r="D31" i="1"/>
  <c r="E31" i="1"/>
  <c r="G31" i="1"/>
  <c r="H31" i="1"/>
  <c r="I31" i="1"/>
  <c r="J31" i="1"/>
  <c r="A12" i="1"/>
  <c r="A22" i="1"/>
  <c r="G9" i="1"/>
  <c r="G8" i="1"/>
  <c r="G6" i="1"/>
  <c r="G7" i="1"/>
  <c r="J9" i="1"/>
  <c r="I8" i="1"/>
  <c r="I9" i="1"/>
  <c r="I6" i="1"/>
  <c r="J6" i="1" s="1"/>
  <c r="I5" i="1"/>
  <c r="J5" i="1" s="1"/>
  <c r="G5" i="1" s="1"/>
  <c r="I4" i="1"/>
  <c r="J4" i="1"/>
  <c r="H9" i="1"/>
  <c r="H8" i="1"/>
  <c r="E4" i="1"/>
  <c r="D7" i="1"/>
  <c r="D8" i="1"/>
  <c r="D9" i="1"/>
  <c r="J8" i="1"/>
  <c r="I7" i="1"/>
  <c r="J7" i="1" s="1"/>
  <c r="K19" i="4" l="1"/>
  <c r="K29" i="4"/>
  <c r="K27" i="4"/>
  <c r="J21" i="4"/>
  <c r="K16" i="4" s="1"/>
  <c r="K37" i="4"/>
  <c r="J37" i="4" s="1"/>
  <c r="J11" i="4"/>
  <c r="K8" i="4"/>
  <c r="J32" i="4"/>
  <c r="K30" i="4" s="1"/>
  <c r="M30" i="3"/>
  <c r="K31" i="1" s="1"/>
  <c r="K14" i="1"/>
  <c r="K24" i="1" s="1"/>
  <c r="K16" i="1"/>
  <c r="K26" i="1" s="1"/>
  <c r="K17" i="1"/>
  <c r="K27" i="1" s="1"/>
  <c r="K18" i="1"/>
  <c r="K28" i="1" s="1"/>
  <c r="K13" i="1"/>
  <c r="K23" i="1" s="1"/>
  <c r="K15" i="1"/>
  <c r="K25" i="1" s="1"/>
  <c r="H14" i="1"/>
  <c r="H24" i="1" s="1"/>
  <c r="L15" i="1"/>
  <c r="L25" i="1" s="1"/>
  <c r="L16" i="1"/>
  <c r="L26" i="1" s="1"/>
  <c r="L17" i="1"/>
  <c r="L27" i="1" s="1"/>
  <c r="L18" i="1"/>
  <c r="L28" i="1" s="1"/>
  <c r="L13" i="1"/>
  <c r="L23" i="1" s="1"/>
  <c r="L14" i="1"/>
  <c r="L24" i="1" s="1"/>
  <c r="G17" i="1"/>
  <c r="G27" i="1" s="1"/>
  <c r="H17" i="1"/>
  <c r="H27" i="1" s="1"/>
  <c r="D13" i="1"/>
  <c r="D23" i="1" s="1"/>
  <c r="D18" i="1"/>
  <c r="D28" i="1" s="1"/>
  <c r="E14" i="1"/>
  <c r="E24" i="1" s="1"/>
  <c r="G16" i="1"/>
  <c r="G26" i="1" s="1"/>
  <c r="H15" i="1"/>
  <c r="H25" i="1" s="1"/>
  <c r="D17" i="1"/>
  <c r="D27" i="1" s="1"/>
  <c r="H18" i="1"/>
  <c r="H28" i="1" s="1"/>
  <c r="I13" i="1"/>
  <c r="I23" i="1" s="1"/>
  <c r="J14" i="1"/>
  <c r="J24" i="1" s="1"/>
  <c r="F14" i="1"/>
  <c r="F24" i="1" s="1"/>
  <c r="C15" i="1"/>
  <c r="C25" i="1" s="1"/>
  <c r="I14" i="1"/>
  <c r="I24" i="1" s="1"/>
  <c r="E13" i="1"/>
  <c r="E23" i="1" s="1"/>
  <c r="F18" i="1"/>
  <c r="F28" i="1" s="1"/>
  <c r="C17" i="1"/>
  <c r="C27" i="1" s="1"/>
  <c r="J17" i="1"/>
  <c r="J27" i="1" s="1"/>
  <c r="F15" i="1"/>
  <c r="F25" i="1" s="1"/>
  <c r="J18" i="1"/>
  <c r="J28" i="1" s="1"/>
  <c r="B17" i="1"/>
  <c r="B27" i="1" s="1"/>
  <c r="J16" i="1"/>
  <c r="J26" i="1" s="1"/>
  <c r="D14" i="1"/>
  <c r="D24" i="1" s="1"/>
  <c r="C13" i="1"/>
  <c r="C23" i="1" s="1"/>
  <c r="I18" i="1"/>
  <c r="I28" i="1" s="1"/>
  <c r="B16" i="1"/>
  <c r="B26" i="1" s="1"/>
  <c r="E17" i="1"/>
  <c r="E27" i="1" s="1"/>
  <c r="F16" i="1"/>
  <c r="F26" i="1" s="1"/>
  <c r="G13" i="1"/>
  <c r="G23" i="1" s="1"/>
  <c r="C14" i="1"/>
  <c r="C24" i="1" s="1"/>
  <c r="D15" i="1"/>
  <c r="D25" i="1" s="1"/>
  <c r="F17" i="1"/>
  <c r="F27" i="1" s="1"/>
  <c r="G14" i="1"/>
  <c r="G24" i="1" s="1"/>
  <c r="E16" i="1"/>
  <c r="E26" i="1" s="1"/>
  <c r="F13" i="1"/>
  <c r="F23" i="1" s="1"/>
  <c r="I17" i="1"/>
  <c r="I27" i="1" s="1"/>
  <c r="I15" i="1"/>
  <c r="I25" i="1" s="1"/>
  <c r="C18" i="1"/>
  <c r="C28" i="1" s="1"/>
  <c r="E15" i="1"/>
  <c r="E25" i="1" s="1"/>
  <c r="B18" i="1"/>
  <c r="B28" i="1" s="1"/>
  <c r="B14" i="1"/>
  <c r="B24" i="1" s="1"/>
  <c r="E18" i="1"/>
  <c r="E28" i="1" s="1"/>
  <c r="H16" i="1"/>
  <c r="H26" i="1" s="1"/>
  <c r="B13" i="1"/>
  <c r="B23" i="1" s="1"/>
  <c r="J15" i="1"/>
  <c r="J25" i="1" s="1"/>
  <c r="C16" i="1"/>
  <c r="C26" i="1" s="1"/>
  <c r="H13" i="1"/>
  <c r="H23" i="1" s="1"/>
  <c r="D16" i="1"/>
  <c r="D26" i="1" s="1"/>
  <c r="G15" i="1"/>
  <c r="G25" i="1" s="1"/>
  <c r="G18" i="1"/>
  <c r="G28" i="1" s="1"/>
  <c r="B15" i="1"/>
  <c r="B25" i="1" s="1"/>
  <c r="I16" i="1"/>
  <c r="I26" i="1" s="1"/>
  <c r="J13" i="1"/>
  <c r="J23" i="1" s="1"/>
  <c r="F31" i="1"/>
  <c r="K7" i="4" l="1"/>
  <c r="K6" i="4"/>
  <c r="L38" i="4" s="1"/>
  <c r="K9" i="4"/>
  <c r="L41" i="4" s="1"/>
  <c r="K5" i="4"/>
  <c r="L37" i="4" s="1"/>
  <c r="K26" i="4"/>
  <c r="K17" i="4"/>
  <c r="K18" i="4"/>
  <c r="L40" i="4" s="1"/>
  <c r="K28" i="4"/>
  <c r="K15" i="4"/>
  <c r="K35" i="1"/>
  <c r="K45" i="1" s="1"/>
  <c r="K33" i="1"/>
  <c r="K37" i="1"/>
  <c r="K47" i="1" s="1"/>
  <c r="K36" i="1"/>
  <c r="K46" i="1" s="1"/>
  <c r="K38" i="1"/>
  <c r="K48" i="1" s="1"/>
  <c r="K34" i="1"/>
  <c r="K44" i="1" s="1"/>
  <c r="L36" i="1"/>
  <c r="L46" i="1" s="1"/>
  <c r="F37" i="1"/>
  <c r="F47" i="1" s="1"/>
  <c r="L37" i="1"/>
  <c r="L47" i="1" s="1"/>
  <c r="I37" i="1"/>
  <c r="I47" i="1" s="1"/>
  <c r="L34" i="1"/>
  <c r="L44" i="1" s="1"/>
  <c r="L33" i="1"/>
  <c r="J33" i="1"/>
  <c r="L38" i="1"/>
  <c r="L48" i="1" s="1"/>
  <c r="L35" i="1"/>
  <c r="L45" i="1" s="1"/>
  <c r="J35" i="1"/>
  <c r="J45" i="1" s="1"/>
  <c r="F33" i="1"/>
  <c r="I35" i="1"/>
  <c r="I45" i="1" s="1"/>
  <c r="I33" i="1"/>
  <c r="J36" i="1"/>
  <c r="J46" i="1" s="1"/>
  <c r="H34" i="1"/>
  <c r="H44" i="1" s="1"/>
  <c r="E37" i="1"/>
  <c r="E47" i="1" s="1"/>
  <c r="D33" i="1"/>
  <c r="G37" i="1"/>
  <c r="G47" i="1" s="1"/>
  <c r="D38" i="1"/>
  <c r="D48" i="1" s="1"/>
  <c r="H35" i="1"/>
  <c r="H45" i="1" s="1"/>
  <c r="H33" i="1"/>
  <c r="E35" i="1"/>
  <c r="E45" i="1" s="1"/>
  <c r="D35" i="1"/>
  <c r="D45" i="1" s="1"/>
  <c r="D34" i="1"/>
  <c r="D44" i="1" s="1"/>
  <c r="E33" i="1"/>
  <c r="I36" i="1"/>
  <c r="I46" i="1" s="1"/>
  <c r="F36" i="1"/>
  <c r="F46" i="1" s="1"/>
  <c r="J38" i="1"/>
  <c r="J48" i="1" s="1"/>
  <c r="F34" i="1"/>
  <c r="F44" i="1" s="1"/>
  <c r="I34" i="1"/>
  <c r="I44" i="1" s="1"/>
  <c r="G36" i="1"/>
  <c r="G46" i="1" s="1"/>
  <c r="H36" i="1"/>
  <c r="H46" i="1" s="1"/>
  <c r="G38" i="1"/>
  <c r="G48" i="1" s="1"/>
  <c r="E34" i="1"/>
  <c r="E44" i="1" s="1"/>
  <c r="E38" i="1"/>
  <c r="E48" i="1" s="1"/>
  <c r="E36" i="1"/>
  <c r="E46" i="1" s="1"/>
  <c r="F35" i="1"/>
  <c r="F45" i="1" s="1"/>
  <c r="J34" i="1"/>
  <c r="J44" i="1" s="1"/>
  <c r="D36" i="1"/>
  <c r="D46" i="1" s="1"/>
  <c r="G35" i="1"/>
  <c r="G45" i="1" s="1"/>
  <c r="G34" i="1"/>
  <c r="G44" i="1" s="1"/>
  <c r="I38" i="1"/>
  <c r="I48" i="1" s="1"/>
  <c r="J37" i="1"/>
  <c r="J47" i="1" s="1"/>
  <c r="H38" i="1"/>
  <c r="H48" i="1" s="1"/>
  <c r="H37" i="1"/>
  <c r="H47" i="1" s="1"/>
  <c r="G33" i="1"/>
  <c r="F38" i="1"/>
  <c r="F48" i="1" s="1"/>
  <c r="D37" i="1"/>
  <c r="D47" i="1" s="1"/>
  <c r="L39" i="4" l="1"/>
  <c r="K50" i="1"/>
  <c r="F63" i="1" s="1"/>
  <c r="L50" i="1"/>
  <c r="L51" i="1" s="1"/>
  <c r="E64" i="1" s="1"/>
  <c r="G50" i="1"/>
  <c r="G51" i="1" s="1"/>
  <c r="E59" i="1" s="1"/>
  <c r="H59" i="1" s="1"/>
  <c r="E50" i="1"/>
  <c r="E51" i="1" s="1"/>
  <c r="E57" i="1" s="1"/>
  <c r="F57" i="1" s="1"/>
  <c r="H50" i="1"/>
  <c r="H51" i="1" s="1"/>
  <c r="E60" i="1" s="1"/>
  <c r="F60" i="1" s="1"/>
  <c r="I50" i="1"/>
  <c r="I51" i="1" s="1"/>
  <c r="E61" i="1" s="1"/>
  <c r="F61" i="1" s="1"/>
  <c r="J50" i="1"/>
  <c r="J51" i="1" s="1"/>
  <c r="E62" i="1" s="1"/>
  <c r="H62" i="1" s="1"/>
  <c r="D50" i="1"/>
  <c r="D51" i="1" s="1"/>
  <c r="E56" i="1" s="1"/>
  <c r="F50" i="1"/>
  <c r="F51" i="1" s="1"/>
  <c r="E58" i="1" s="1"/>
  <c r="F58" i="1" s="1"/>
  <c r="K51" i="1" l="1"/>
  <c r="E63" i="1" s="1"/>
  <c r="H63" i="1" s="1"/>
  <c r="I63" i="1" s="1"/>
  <c r="F64" i="1"/>
  <c r="H64" i="1"/>
  <c r="I64" i="1" s="1"/>
  <c r="F62" i="1"/>
  <c r="I62" i="1"/>
  <c r="H61" i="1"/>
  <c r="I61" i="1" s="1"/>
  <c r="I59" i="1"/>
  <c r="F59" i="1"/>
  <c r="H60" i="1"/>
  <c r="I60" i="1" s="1"/>
  <c r="H58" i="1"/>
  <c r="I58" i="1" s="1"/>
  <c r="H56" i="1"/>
  <c r="I56" i="1" s="1"/>
  <c r="F56" i="1"/>
</calcChain>
</file>

<file path=xl/comments1.xml><?xml version="1.0" encoding="utf-8"?>
<comments xmlns="http://schemas.openxmlformats.org/spreadsheetml/2006/main">
  <authors>
    <author>DrTimPerkins</author>
  </authors>
  <commentList>
    <comment ref="W3" authorId="0" shapeId="0">
      <text>
        <r>
          <rPr>
            <b/>
            <sz val="9"/>
            <color indexed="81"/>
            <rFont val="Tahoma"/>
            <family val="2"/>
          </rPr>
          <t xml:space="preserve">These calculators can be used to determine the cost of labor for different activities. Enter the pay rate ($/hr) and quantity handled per hour into the </t>
        </r>
        <r>
          <rPr>
            <b/>
            <sz val="9"/>
            <color indexed="39"/>
            <rFont val="Tahoma"/>
            <family val="2"/>
          </rPr>
          <t>BLUE</t>
        </r>
        <r>
          <rPr>
            <b/>
            <sz val="9"/>
            <color indexed="81"/>
            <rFont val="Tahoma"/>
            <family val="2"/>
          </rPr>
          <t xml:space="preserve"> boxes. The labor cost per drop/tap is shown in the </t>
        </r>
        <r>
          <rPr>
            <b/>
            <sz val="9"/>
            <color indexed="17"/>
            <rFont val="Tahoma"/>
            <family val="2"/>
          </rPr>
          <t xml:space="preserve">GREEN </t>
        </r>
        <r>
          <rPr>
            <b/>
            <sz val="9"/>
            <color indexed="81"/>
            <rFont val="Tahoma"/>
            <family val="2"/>
          </rPr>
          <t>box.</t>
        </r>
      </text>
    </comment>
    <comment ref="K24" authorId="0" shapeId="0">
      <text>
        <r>
          <rPr>
            <b/>
            <sz val="11"/>
            <color indexed="81"/>
            <rFont val="Tahoma"/>
            <family val="2"/>
          </rPr>
          <t xml:space="preserve">Costs of materials and labor for different strategies can be input into </t>
        </r>
        <r>
          <rPr>
            <b/>
            <sz val="11"/>
            <color indexed="10"/>
            <rFont val="Tahoma"/>
            <family val="2"/>
          </rPr>
          <t>RED</t>
        </r>
        <r>
          <rPr>
            <b/>
            <sz val="11"/>
            <color indexed="81"/>
            <rFont val="Tahoma"/>
            <family val="2"/>
          </rPr>
          <t xml:space="preserve"> boxes.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Input Annual Cost per Spout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Input Annual Cost per CV or CV2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Input Cost of Tubing to Make One Drop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Insert Cost of Tee to Make One Drop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Input Annual Cost per Spout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Input Cost of Labor to Make One Drop (Calculator on Right)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>Input Cost of Labor to Install Drop (Calculator on Right)</t>
        </r>
      </text>
    </comment>
    <comment ref="R30" authorId="0" shapeId="0">
      <text>
        <r>
          <rPr>
            <b/>
            <sz val="9"/>
            <color indexed="81"/>
            <rFont val="Tahoma"/>
            <family val="2"/>
          </rPr>
          <t>Input Cost of Sanitizer to Clean One Drop/Spout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</rPr>
          <t>Input Cost of Labor to Clean One Drop/Spout</t>
        </r>
      </text>
    </comment>
    <comment ref="Q31" authorId="0" shapeId="0">
      <text>
        <r>
          <rPr>
            <b/>
            <sz val="9"/>
            <color indexed="81"/>
            <rFont val="Tahoma"/>
            <family val="2"/>
          </rPr>
          <t>Input Annual Cost per Spout</t>
        </r>
      </text>
    </comment>
    <comment ref="R31" authorId="0" shapeId="0">
      <text>
        <r>
          <rPr>
            <b/>
            <sz val="9"/>
            <color indexed="81"/>
            <rFont val="Tahoma"/>
            <family val="2"/>
          </rPr>
          <t>Input Cost of Sanitizer to Clean One Drop/Spout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</rPr>
          <t>Input Cost of Labor to Clean One Drop/Spout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Input the maximum amount of sap (gal/tap) you anticipate for your tubing setup and vacuum level OR the yield you produced in the first year after retubing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>Input the value ($/gal) you place on your sap</t>
        </r>
      </text>
    </comment>
  </commentList>
</comments>
</file>

<file path=xl/sharedStrings.xml><?xml version="1.0" encoding="utf-8"?>
<sst xmlns="http://schemas.openxmlformats.org/spreadsheetml/2006/main" count="154" uniqueCount="90">
  <si>
    <t>Spouts</t>
  </si>
  <si>
    <t>Nothing</t>
  </si>
  <si>
    <t>CV</t>
  </si>
  <si>
    <t>$ per tap gained</t>
  </si>
  <si>
    <t>Net Profit ($)</t>
  </si>
  <si>
    <t>Yrs</t>
  </si>
  <si>
    <t>$ sap value produced per tap</t>
  </si>
  <si>
    <t>Net Annual Profit ($)</t>
  </si>
  <si>
    <t>Net 5 Yr Profit ($)</t>
  </si>
  <si>
    <t>3 Yr</t>
  </si>
  <si>
    <t>4 Yr</t>
  </si>
  <si>
    <t>5 Yr</t>
  </si>
  <si>
    <t>2 Yr</t>
  </si>
  <si>
    <t>S</t>
  </si>
  <si>
    <t>D1</t>
  </si>
  <si>
    <t>D2</t>
  </si>
  <si>
    <t>D3</t>
  </si>
  <si>
    <t>D4</t>
  </si>
  <si>
    <t>D5</t>
  </si>
  <si>
    <t>Net Profit</t>
  </si>
  <si>
    <t>Strategy</t>
  </si>
  <si>
    <t xml:space="preserve">Baseline Gal sap </t>
  </si>
  <si>
    <t>Assembly</t>
  </si>
  <si>
    <t>Tubing</t>
  </si>
  <si>
    <t>Tee</t>
  </si>
  <si>
    <t>Spout</t>
  </si>
  <si>
    <t>Model Input Variables</t>
  </si>
  <si>
    <t>Effects of Replacement Strategies on Sap Yield and Net Profit</t>
  </si>
  <si>
    <t>Adv CV</t>
  </si>
  <si>
    <t>Net Prof</t>
  </si>
  <si>
    <t>5-Yr</t>
  </si>
  <si>
    <t>Annual</t>
  </si>
  <si>
    <t>Drop</t>
  </si>
  <si>
    <t>Costs</t>
  </si>
  <si>
    <t>Effect of sap value on drop replacement net profit</t>
  </si>
  <si>
    <t>Baseline sap production at 20 gal/tap</t>
  </si>
  <si>
    <t>If Drop = $0.56= CV net profit</t>
  </si>
  <si>
    <t>Effect of drop cost on drop replacement net profit</t>
  </si>
  <si>
    <t>Effect of baseline yield on drop replacement net profit</t>
  </si>
  <si>
    <t>Sap value = $0.35, drop cost = $1.59</t>
  </si>
  <si>
    <t>gal/tap</t>
  </si>
  <si>
    <t>Value of sap ($/gal)</t>
  </si>
  <si>
    <t>Cost of Drop ($)</t>
  </si>
  <si>
    <t>Max</t>
  </si>
  <si>
    <t>%</t>
  </si>
  <si>
    <t>Total</t>
  </si>
  <si>
    <t>Avg</t>
  </si>
  <si>
    <t>Average of Net Profit Scenarios</t>
  </si>
  <si>
    <t>Baseline Sap Yield (gal/tap)</t>
  </si>
  <si>
    <t xml:space="preserve">Repl </t>
  </si>
  <si>
    <t>Spout (Annual)</t>
  </si>
  <si>
    <t>CV (Annual)</t>
  </si>
  <si>
    <t>Drop (x Yrs)</t>
  </si>
  <si>
    <t>=</t>
  </si>
  <si>
    <t>D x 1</t>
  </si>
  <si>
    <t>D x 2</t>
  </si>
  <si>
    <t>D x 3</t>
  </si>
  <si>
    <t>D x 4</t>
  </si>
  <si>
    <t>D x 5</t>
  </si>
  <si>
    <t>Clean+Spout</t>
  </si>
  <si>
    <t>Pay rate/hr</t>
  </si>
  <si>
    <t>Cost per tap</t>
  </si>
  <si>
    <t>Number drops cleaned/hr</t>
  </si>
  <si>
    <t>Number drops cleaned/min</t>
  </si>
  <si>
    <t>&lt;------- Labor-------&gt;</t>
  </si>
  <si>
    <t>STRATEGY</t>
  </si>
  <si>
    <t>Clean &amp; Replace (Annual)</t>
  </si>
  <si>
    <t>Clean Spouts+Drops</t>
  </si>
  <si>
    <t>Clean</t>
  </si>
  <si>
    <t>Cln</t>
  </si>
  <si>
    <t>Cln + S</t>
  </si>
  <si>
    <t>TOTAL COST</t>
  </si>
  <si>
    <t xml:space="preserve">                      &lt;--------------- Materials -------------------------&gt;</t>
  </si>
  <si>
    <t>Sanitizer</t>
  </si>
  <si>
    <t xml:space="preserve"> (price per gallon you value your sap)</t>
  </si>
  <si>
    <r>
      <t>gal</t>
    </r>
    <r>
      <rPr>
        <sz val="11"/>
        <color theme="1"/>
        <rFont val="Calibri"/>
        <family val="2"/>
        <scheme val="minor"/>
      </rPr>
      <t xml:space="preserve"> (estimated or actual production of sap first year after re-tubing)</t>
    </r>
  </si>
  <si>
    <t>Baseline Sap/Tap (gal)</t>
  </si>
  <si>
    <t>Value of Sap/Gal ($)</t>
  </si>
  <si>
    <t>Number drops installed/hr</t>
  </si>
  <si>
    <t>Number drops installed/min</t>
  </si>
  <si>
    <t>Number drops made/hr</t>
  </si>
  <si>
    <t>Number drops made/min</t>
  </si>
  <si>
    <t>Assembly cost per drop</t>
  </si>
  <si>
    <t>Installation cost per tap</t>
  </si>
  <si>
    <t>Drop Assembly Labor Calculations</t>
  </si>
  <si>
    <t>Drop Installation Labor Calculations</t>
  </si>
  <si>
    <t>Cleaning Labor Calculations</t>
  </si>
  <si>
    <r>
      <t xml:space="preserve">Install </t>
    </r>
    <r>
      <rPr>
        <b/>
        <i/>
        <u/>
        <sz val="11"/>
        <color theme="1"/>
        <rFont val="Calibri"/>
        <family val="2"/>
        <scheme val="minor"/>
      </rPr>
      <t>or</t>
    </r>
    <r>
      <rPr>
        <b/>
        <i/>
        <sz val="11"/>
        <color theme="1"/>
        <rFont val="Calibri"/>
        <family val="2"/>
        <scheme val="minor"/>
      </rPr>
      <t xml:space="preserve"> Clean</t>
    </r>
  </si>
  <si>
    <t>LABOR CALCULATIONS</t>
  </si>
  <si>
    <t>Effects of Spout and Drop Sanitation Strategy on Sap Yield and Net Profit - DRAFT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</si>
</sst>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indexed="81"/>
      <name val="Tahoma"/>
      <family val="2"/>
    </font>
    <font>
      <b/>
      <i/>
      <u/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1"/>
      <color indexed="10"/>
      <name val="Tahoma"/>
      <family val="2"/>
    </font>
    <font>
      <b/>
      <sz val="9"/>
      <color indexed="17"/>
      <name val="Tahoma"/>
      <family val="2"/>
    </font>
    <font>
      <b/>
      <sz val="9"/>
      <color indexed="39"/>
      <name val="Tahoma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0" applyNumberFormat="1"/>
    <xf numFmtId="6" fontId="0" fillId="0" borderId="0" xfId="0" applyNumberFormat="1"/>
    <xf numFmtId="8" fontId="0" fillId="0" borderId="0" xfId="0" applyNumberFormat="1"/>
    <xf numFmtId="44" fontId="0" fillId="0" borderId="0" xfId="1" applyFont="1"/>
    <xf numFmtId="44" fontId="0" fillId="0" borderId="0" xfId="0" applyNumberFormat="1"/>
    <xf numFmtId="2" fontId="0" fillId="0" borderId="0" xfId="0" applyNumberFormat="1"/>
    <xf numFmtId="0" fontId="2" fillId="0" borderId="0" xfId="0" applyFont="1"/>
    <xf numFmtId="44" fontId="2" fillId="0" borderId="0" xfId="1" applyFont="1"/>
    <xf numFmtId="164" fontId="2" fillId="0" borderId="0" xfId="0" applyNumberFormat="1" applyFont="1" applyAlignment="1">
      <alignment horizontal="right"/>
    </xf>
    <xf numFmtId="0" fontId="0" fillId="2" borderId="0" xfId="0" applyFill="1"/>
    <xf numFmtId="44" fontId="0" fillId="2" borderId="0" xfId="1" applyFont="1" applyFill="1"/>
    <xf numFmtId="44" fontId="0" fillId="3" borderId="0" xfId="1" applyFont="1" applyFill="1"/>
    <xf numFmtId="0" fontId="9" fillId="0" borderId="0" xfId="0" applyFont="1"/>
    <xf numFmtId="0" fontId="0" fillId="0" borderId="0" xfId="0" applyFont="1"/>
    <xf numFmtId="0" fontId="10" fillId="0" borderId="0" xfId="0" applyFont="1"/>
    <xf numFmtId="165" fontId="2" fillId="0" borderId="0" xfId="2" applyNumberFormat="1" applyFont="1"/>
    <xf numFmtId="0" fontId="11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8" fillId="6" borderId="0" xfId="0" applyFont="1" applyFill="1"/>
    <xf numFmtId="0" fontId="0" fillId="6" borderId="0" xfId="0" applyFill="1"/>
    <xf numFmtId="164" fontId="2" fillId="0" borderId="0" xfId="0" applyNumberFormat="1" applyFont="1" applyAlignment="1">
      <alignment horizontal="left"/>
    </xf>
    <xf numFmtId="2" fontId="0" fillId="4" borderId="0" xfId="0" applyNumberFormat="1" applyFill="1"/>
    <xf numFmtId="0" fontId="2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4" xfId="0" applyFont="1" applyFill="1" applyBorder="1"/>
    <xf numFmtId="0" fontId="0" fillId="0" borderId="5" xfId="0" applyBorder="1"/>
    <xf numFmtId="0" fontId="7" fillId="0" borderId="4" xfId="0" applyFont="1" applyFill="1" applyBorder="1"/>
    <xf numFmtId="0" fontId="4" fillId="0" borderId="4" xfId="0" applyFont="1" applyBorder="1"/>
    <xf numFmtId="0" fontId="3" fillId="0" borderId="5" xfId="0" applyFont="1" applyBorder="1" applyAlignment="1">
      <alignment horizontal="right"/>
    </xf>
    <xf numFmtId="0" fontId="6" fillId="0" borderId="4" xfId="0" applyFont="1" applyBorder="1"/>
    <xf numFmtId="0" fontId="5" fillId="0" borderId="4" xfId="0" applyFont="1" applyBorder="1"/>
    <xf numFmtId="0" fontId="17" fillId="0" borderId="4" xfId="0" applyFont="1" applyFill="1" applyBorder="1"/>
    <xf numFmtId="0" fontId="13" fillId="0" borderId="4" xfId="0" applyFont="1" applyBorder="1"/>
    <xf numFmtId="0" fontId="2" fillId="0" borderId="4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44" fontId="2" fillId="9" borderId="1" xfId="1" applyFont="1" applyFill="1" applyBorder="1"/>
    <xf numFmtId="44" fontId="2" fillId="10" borderId="1" xfId="1" applyFont="1" applyFill="1" applyBorder="1"/>
    <xf numFmtId="44" fontId="2" fillId="7" borderId="1" xfId="1" applyFont="1" applyFill="1" applyBorder="1"/>
    <xf numFmtId="44" fontId="2" fillId="8" borderId="1" xfId="1" applyFont="1" applyFill="1" applyBorder="1"/>
    <xf numFmtId="44" fontId="2" fillId="11" borderId="1" xfId="1" applyFont="1" applyFill="1" applyBorder="1"/>
    <xf numFmtId="0" fontId="3" fillId="12" borderId="2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44" fontId="2" fillId="0" borderId="9" xfId="1" applyFont="1" applyFill="1" applyBorder="1"/>
    <xf numFmtId="44" fontId="1" fillId="10" borderId="10" xfId="1" applyFont="1" applyFill="1" applyBorder="1"/>
    <xf numFmtId="44" fontId="0" fillId="7" borderId="10" xfId="1" applyFont="1" applyFill="1" applyBorder="1"/>
    <xf numFmtId="44" fontId="0" fillId="11" borderId="10" xfId="1" applyFont="1" applyFill="1" applyBorder="1"/>
    <xf numFmtId="44" fontId="0" fillId="8" borderId="10" xfId="1" applyFont="1" applyFill="1" applyBorder="1"/>
    <xf numFmtId="37" fontId="2" fillId="6" borderId="10" xfId="1" applyNumberFormat="1" applyFont="1" applyFill="1" applyBorder="1"/>
    <xf numFmtId="44" fontId="2" fillId="6" borderId="10" xfId="1" applyFont="1" applyFill="1" applyBorder="1"/>
    <xf numFmtId="44" fontId="1" fillId="9" borderId="10" xfId="1" applyFont="1" applyFill="1" applyBorder="1"/>
    <xf numFmtId="164" fontId="0" fillId="0" borderId="0" xfId="0" applyNumberFormat="1" applyAlignment="1">
      <alignment horizontal="right"/>
    </xf>
    <xf numFmtId="44" fontId="0" fillId="0" borderId="11" xfId="1" applyFont="1" applyBorder="1" applyAlignment="1">
      <alignment horizontal="right"/>
    </xf>
    <xf numFmtId="0" fontId="0" fillId="0" borderId="11" xfId="0" applyBorder="1" applyAlignment="1">
      <alignment horizontal="right"/>
    </xf>
    <xf numFmtId="44" fontId="0" fillId="0" borderId="12" xfId="1" applyFont="1" applyBorder="1" applyAlignment="1">
      <alignment horizontal="right"/>
    </xf>
    <xf numFmtId="0" fontId="2" fillId="2" borderId="0" xfId="0" applyFont="1" applyFill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12" fillId="5" borderId="13" xfId="0" applyFont="1" applyFill="1" applyBorder="1" applyAlignment="1"/>
    <xf numFmtId="0" fontId="0" fillId="0" borderId="14" xfId="0" applyBorder="1" applyAlignment="1"/>
    <xf numFmtId="0" fontId="0" fillId="0" borderId="15" xfId="0" applyBorder="1" applyAlignment="1"/>
    <xf numFmtId="0" fontId="24" fillId="0" borderId="0" xfId="0" applyFont="1" applyAlignment="1"/>
    <xf numFmtId="0" fontId="0" fillId="0" borderId="0" xfId="0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99"/>
      <color rgb="FFFFFF99"/>
      <color rgb="FF66FF33"/>
      <color rgb="FF66FFFF"/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0070C0"/>
              </a:solidFill>
            </a:ln>
          </c:spPr>
          <c:marker>
            <c:symbol val="circle"/>
            <c:size val="5"/>
          </c:marker>
          <c:xVal>
            <c:numRef>
              <c:f>Calculations!$A$4:$A$9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Calculations!$B$4:$B$9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CD-4D14-9460-8CAB95EB2F0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 w="25400">
                <a:solidFill>
                  <a:srgbClr val="FF0000"/>
                </a:solidFill>
              </a:ln>
            </c:spPr>
            <c:trendlineType val="log"/>
            <c:dispRSqr val="0"/>
            <c:dispEq val="0"/>
          </c:trendline>
          <c:xVal>
            <c:numRef>
              <c:f>Calculations!$A$4:$A$9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Calculations!$C$4:$C$9</c:f>
              <c:numCache>
                <c:formatCode>0.0</c:formatCode>
                <c:ptCount val="6"/>
                <c:pt idx="0">
                  <c:v>100</c:v>
                </c:pt>
                <c:pt idx="1">
                  <c:v>85.5</c:v>
                </c:pt>
                <c:pt idx="2">
                  <c:v>78</c:v>
                </c:pt>
                <c:pt idx="3">
                  <c:v>72</c:v>
                </c:pt>
                <c:pt idx="4">
                  <c:v>68</c:v>
                </c:pt>
                <c:pt idx="5">
                  <c:v>64.5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CD-4D14-9460-8CAB95EB2F09}"/>
            </c:ext>
          </c:extLst>
        </c:ser>
        <c:ser>
          <c:idx val="2"/>
          <c:order val="2"/>
          <c:spPr>
            <a:ln w="28575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Calculations!$D$4:$D$9</c:f>
              <c:numCache>
                <c:formatCode>0.0</c:formatCode>
                <c:ptCount val="6"/>
                <c:pt idx="0">
                  <c:v>100</c:v>
                </c:pt>
                <c:pt idx="1">
                  <c:v>92.5</c:v>
                </c:pt>
                <c:pt idx="2">
                  <c:v>86.5</c:v>
                </c:pt>
                <c:pt idx="3">
                  <c:v>81</c:v>
                </c:pt>
                <c:pt idx="4">
                  <c:v>76.5</c:v>
                </c:pt>
                <c:pt idx="5">
                  <c:v>72.5625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CD-4D14-9460-8CAB95EB2F09}"/>
            </c:ext>
          </c:extLst>
        </c:ser>
        <c:ser>
          <c:idx val="3"/>
          <c:order val="3"/>
          <c:spPr>
            <a:ln w="28575"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Calculations!$F$4:$F$9</c:f>
              <c:numCache>
                <c:formatCode>0.0</c:formatCode>
                <c:ptCount val="6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CD-4D14-9460-8CAB95EB2F09}"/>
            </c:ext>
          </c:extLst>
        </c:ser>
        <c:ser>
          <c:idx val="4"/>
          <c:order val="4"/>
          <c:spPr>
            <a:ln w="28575"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Calculations!$A$4:$A$9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Calculations!$E$4:$E$9</c:f>
              <c:numCache>
                <c:formatCode>0.0</c:formatCode>
                <c:ptCount val="6"/>
                <c:pt idx="0">
                  <c:v>100</c:v>
                </c:pt>
                <c:pt idx="1">
                  <c:v>96</c:v>
                </c:pt>
                <c:pt idx="2">
                  <c:v>94</c:v>
                </c:pt>
                <c:pt idx="3">
                  <c:v>92</c:v>
                </c:pt>
                <c:pt idx="4">
                  <c:v>90</c:v>
                </c:pt>
                <c:pt idx="5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CD-4D14-9460-8CAB95EB2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3488"/>
        <c:axId val="40149760"/>
      </c:scatterChart>
      <c:valAx>
        <c:axId val="401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149760"/>
        <c:crosses val="autoZero"/>
        <c:crossBetween val="midCat"/>
      </c:valAx>
      <c:valAx>
        <c:axId val="40149760"/>
        <c:scaling>
          <c:orientation val="minMax"/>
          <c:max val="110"/>
          <c:min val="5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40143488"/>
        <c:crosses val="autoZero"/>
        <c:crossBetween val="midCat"/>
      </c:valAx>
      <c:spPr>
        <a:solidFill>
          <a:schemeClr val="bg1">
            <a:lumMod val="95000"/>
          </a:schemeClr>
        </a:solidFill>
        <a:ln w="254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95000"/>
          </a:schemeClr>
        </a:solidFill>
      </c:spPr>
    </c:floor>
    <c:sideWall>
      <c:thickness val="0"/>
      <c:spPr>
        <a:solidFill>
          <a:schemeClr val="bg1">
            <a:lumMod val="95000"/>
            <a:alpha val="29000"/>
          </a:schemeClr>
        </a:solidFill>
        <a:ln>
          <a:solidFill>
            <a:schemeClr val="tx1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13264309134948635"/>
          <c:y val="4.6668851135096133E-2"/>
          <c:w val="0.82525253705304646"/>
          <c:h val="0.9066622977298077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Analysis!$B$15</c:f>
              <c:strCache>
                <c:ptCount val="1"/>
                <c:pt idx="0">
                  <c:v>D1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Analysis!$C$14:$H$14</c:f>
              <c:numCache>
                <c:formatCode>_("$"* #,##0.00_);_("$"* \(#,##0.00\);_("$"* "-"??_);_(@_)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</c:numCache>
            </c:numRef>
          </c:cat>
          <c:val>
            <c:numRef>
              <c:f>Analysis!$C$15:$H$15</c:f>
              <c:numCache>
                <c:formatCode>General</c:formatCode>
                <c:ptCount val="6"/>
                <c:pt idx="0">
                  <c:v>1.1399999999999999</c:v>
                </c:pt>
                <c:pt idx="1">
                  <c:v>0.89</c:v>
                </c:pt>
                <c:pt idx="2">
                  <c:v>0.64</c:v>
                </c:pt>
                <c:pt idx="3">
                  <c:v>0.39</c:v>
                </c:pt>
                <c:pt idx="4">
                  <c:v>0.14000000000000001</c:v>
                </c:pt>
                <c:pt idx="5">
                  <c:v>-0.11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41C-9A90-9860C21D9B2A}"/>
            </c:ext>
          </c:extLst>
        </c:ser>
        <c:ser>
          <c:idx val="1"/>
          <c:order val="1"/>
          <c:tx>
            <c:strRef>
              <c:f>Analysis!$B$16</c:f>
              <c:strCache>
                <c:ptCount val="1"/>
                <c:pt idx="0">
                  <c:v>D2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Analysis!$C$14:$H$14</c:f>
              <c:numCache>
                <c:formatCode>_("$"* #,##0.00_);_("$"* \(#,##0.00\);_("$"* "-"??_);_(@_)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</c:numCache>
            </c:numRef>
          </c:cat>
          <c:val>
            <c:numRef>
              <c:f>Analysis!$C$16:$H$16</c:f>
              <c:numCache>
                <c:formatCode>General</c:formatCode>
                <c:ptCount val="6"/>
                <c:pt idx="0">
                  <c:v>1.07</c:v>
                </c:pt>
                <c:pt idx="1">
                  <c:v>0.97</c:v>
                </c:pt>
                <c:pt idx="2">
                  <c:v>0.87</c:v>
                </c:pt>
                <c:pt idx="3">
                  <c:v>0.77</c:v>
                </c:pt>
                <c:pt idx="4">
                  <c:v>0.67</c:v>
                </c:pt>
                <c:pt idx="5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41C-9A90-9860C21D9B2A}"/>
            </c:ext>
          </c:extLst>
        </c:ser>
        <c:ser>
          <c:idx val="2"/>
          <c:order val="2"/>
          <c:tx>
            <c:strRef>
              <c:f>Analysis!$B$17</c:f>
              <c:strCache>
                <c:ptCount val="1"/>
                <c:pt idx="0">
                  <c:v>D3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Analysis!$C$14:$H$14</c:f>
              <c:numCache>
                <c:formatCode>_("$"* #,##0.00_);_("$"* \(#,##0.00\);_("$"* "-"??_);_(@_)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</c:numCache>
            </c:numRef>
          </c:cat>
          <c:val>
            <c:numRef>
              <c:f>Analysis!$C$17:$H$17</c:f>
              <c:numCache>
                <c:formatCode>General</c:formatCode>
                <c:ptCount val="6"/>
                <c:pt idx="0">
                  <c:v>0.91</c:v>
                </c:pt>
                <c:pt idx="1">
                  <c:v>0.86</c:v>
                </c:pt>
                <c:pt idx="2">
                  <c:v>0.81</c:v>
                </c:pt>
                <c:pt idx="3">
                  <c:v>0.76</c:v>
                </c:pt>
                <c:pt idx="4">
                  <c:v>0.71</c:v>
                </c:pt>
                <c:pt idx="5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41C-9A90-9860C21D9B2A}"/>
            </c:ext>
          </c:extLst>
        </c:ser>
        <c:ser>
          <c:idx val="3"/>
          <c:order val="3"/>
          <c:tx>
            <c:strRef>
              <c:f>Analysis!$B$18</c:f>
              <c:strCache>
                <c:ptCount val="1"/>
                <c:pt idx="0">
                  <c:v>D4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Analysis!$C$14:$H$14</c:f>
              <c:numCache>
                <c:formatCode>_("$"* #,##0.00_);_("$"* \(#,##0.00\);_("$"* "-"??_);_(@_)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</c:numCache>
            </c:numRef>
          </c:cat>
          <c:val>
            <c:numRef>
              <c:f>Analysis!$C$18:$H$18</c:f>
              <c:numCache>
                <c:formatCode>General</c:formatCode>
                <c:ptCount val="6"/>
                <c:pt idx="0">
                  <c:v>0.84</c:v>
                </c:pt>
                <c:pt idx="1">
                  <c:v>0.79</c:v>
                </c:pt>
                <c:pt idx="2">
                  <c:v>0.74</c:v>
                </c:pt>
                <c:pt idx="3">
                  <c:v>0.69</c:v>
                </c:pt>
                <c:pt idx="4">
                  <c:v>0.64</c:v>
                </c:pt>
                <c:pt idx="5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41C-9A90-9860C21D9B2A}"/>
            </c:ext>
          </c:extLst>
        </c:ser>
        <c:ser>
          <c:idx val="4"/>
          <c:order val="4"/>
          <c:tx>
            <c:strRef>
              <c:f>Analysis!$B$19</c:f>
              <c:strCache>
                <c:ptCount val="1"/>
                <c:pt idx="0">
                  <c:v>D5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Analysis!$C$14:$H$14</c:f>
              <c:numCache>
                <c:formatCode>_("$"* #,##0.00_);_("$"* \(#,##0.00\);_("$"* "-"??_);_(@_)</c:formatCode>
                <c:ptCount val="6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1.25</c:v>
                </c:pt>
                <c:pt idx="4">
                  <c:v>1.5</c:v>
                </c:pt>
                <c:pt idx="5">
                  <c:v>1.75</c:v>
                </c:pt>
              </c:numCache>
            </c:numRef>
          </c:cat>
          <c:val>
            <c:numRef>
              <c:f>Analysis!$C$19:$H$19</c:f>
              <c:numCache>
                <c:formatCode>General</c:formatCode>
                <c:ptCount val="6"/>
                <c:pt idx="0">
                  <c:v>0.65</c:v>
                </c:pt>
                <c:pt idx="1">
                  <c:v>0.6</c:v>
                </c:pt>
                <c:pt idx="2">
                  <c:v>0.55000000000000004</c:v>
                </c:pt>
                <c:pt idx="3">
                  <c:v>0.5</c:v>
                </c:pt>
                <c:pt idx="4">
                  <c:v>0.45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33-441C-9A90-9860C21D9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319040"/>
        <c:axId val="41321216"/>
        <c:axId val="40770176"/>
      </c:bar3DChart>
      <c:catAx>
        <c:axId val="41319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Dropline Replacement Cost ($)</a:t>
                </a:r>
              </a:p>
            </c:rich>
          </c:tx>
          <c:layout>
            <c:manualLayout>
              <c:xMode val="edge"/>
              <c:yMode val="edge"/>
              <c:x val="0.25246754207652827"/>
              <c:y val="0.92600113195182254"/>
            </c:manualLayout>
          </c:layout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low"/>
        <c:txPr>
          <a:bodyPr anchor="ctr" anchorCtr="1"/>
          <a:lstStyle/>
          <a:p>
            <a:pPr>
              <a:defRPr b="1"/>
            </a:pPr>
            <a:endParaRPr lang="en-US"/>
          </a:p>
        </c:txPr>
        <c:crossAx val="41321216"/>
        <c:crosses val="autoZero"/>
        <c:auto val="1"/>
        <c:lblAlgn val="ctr"/>
        <c:lblOffset val="100"/>
        <c:noMultiLvlLbl val="0"/>
      </c:catAx>
      <c:valAx>
        <c:axId val="41321216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Annual Net Profit ($ per tap)</a:t>
                </a:r>
              </a:p>
            </c:rich>
          </c:tx>
          <c:layout>
            <c:manualLayout>
              <c:xMode val="edge"/>
              <c:yMode val="edge"/>
              <c:x val="1.3856242747104683E-2"/>
              <c:y val="0.13165824322401062"/>
            </c:manualLayout>
          </c:layout>
          <c:overlay val="0"/>
        </c:title>
        <c:numFmt formatCode="&quot;$&quot;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1319040"/>
        <c:crosses val="autoZero"/>
        <c:crossBetween val="between"/>
      </c:valAx>
      <c:serAx>
        <c:axId val="407701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1321216"/>
        <c:crosses val="autoZero"/>
      </c:ser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95000"/>
          </a:schemeClr>
        </a:solidFill>
      </c:spPr>
    </c:floor>
    <c:sideWall>
      <c:thickness val="0"/>
      <c:spPr>
        <a:solidFill>
          <a:schemeClr val="bg1">
            <a:lumMod val="95000"/>
            <a:alpha val="29000"/>
          </a:schemeClr>
        </a:solidFill>
        <a:ln>
          <a:solidFill>
            <a:schemeClr val="tx1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5673380219163995E-2"/>
          <c:y val="4.6668851135096133E-2"/>
          <c:w val="0.85739892676620166"/>
          <c:h val="0.9066622977298077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Analysis!$B$26</c:f>
              <c:strCache>
                <c:ptCount val="1"/>
                <c:pt idx="0">
                  <c:v>D1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Analysis!$C$25:$G$25</c:f>
              <c:numCache>
                <c:formatCode>_(* #,##0_);_(* \(#,##0\);_(* "-"??_);_(@_)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numCache>
            </c:numRef>
          </c:cat>
          <c:val>
            <c:numRef>
              <c:f>Analysis!$C$26:$G$26</c:f>
              <c:numCache>
                <c:formatCode>General</c:formatCode>
                <c:ptCount val="5"/>
                <c:pt idx="0">
                  <c:v>-0.77</c:v>
                </c:pt>
                <c:pt idx="1">
                  <c:v>-0.36</c:v>
                </c:pt>
                <c:pt idx="2">
                  <c:v>0.05</c:v>
                </c:pt>
                <c:pt idx="3">
                  <c:v>0.46</c:v>
                </c:pt>
                <c:pt idx="4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1-40B2-8669-BB02431F8D1D}"/>
            </c:ext>
          </c:extLst>
        </c:ser>
        <c:ser>
          <c:idx val="1"/>
          <c:order val="1"/>
          <c:tx>
            <c:strRef>
              <c:f>Analysis!$B$27</c:f>
              <c:strCache>
                <c:ptCount val="1"/>
                <c:pt idx="0">
                  <c:v>D2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Analysis!$C$25:$G$25</c:f>
              <c:numCache>
                <c:formatCode>_(* #,##0_);_(* \(#,##0\);_(* "-"??_);_(@_)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numCache>
            </c:numRef>
          </c:cat>
          <c:val>
            <c:numRef>
              <c:f>Analysis!$C$27:$G$27</c:f>
              <c:numCache>
                <c:formatCode>General</c:formatCode>
                <c:ptCount val="5"/>
                <c:pt idx="0">
                  <c:v>-0.05</c:v>
                </c:pt>
                <c:pt idx="1">
                  <c:v>0.28999999999999998</c:v>
                </c:pt>
                <c:pt idx="2">
                  <c:v>0.63</c:v>
                </c:pt>
                <c:pt idx="3">
                  <c:v>0.98</c:v>
                </c:pt>
                <c:pt idx="4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1-40B2-8669-BB02431F8D1D}"/>
            </c:ext>
          </c:extLst>
        </c:ser>
        <c:ser>
          <c:idx val="2"/>
          <c:order val="2"/>
          <c:tx>
            <c:strRef>
              <c:f>Analysis!$B$28</c:f>
              <c:strCache>
                <c:ptCount val="1"/>
                <c:pt idx="0">
                  <c:v>D3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Analysis!$C$25:$G$25</c:f>
              <c:numCache>
                <c:formatCode>_(* #,##0_);_(* \(#,##0\);_(* "-"??_);_(@_)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numCache>
            </c:numRef>
          </c:cat>
          <c:val>
            <c:numRef>
              <c:f>Analysis!$C$28:$G$28</c:f>
              <c:numCache>
                <c:formatCode>General</c:formatCode>
                <c:ptCount val="5"/>
                <c:pt idx="0">
                  <c:v>0.12</c:v>
                </c:pt>
                <c:pt idx="1">
                  <c:v>0.4</c:v>
                </c:pt>
                <c:pt idx="2">
                  <c:v>0.69</c:v>
                </c:pt>
                <c:pt idx="3">
                  <c:v>0.97</c:v>
                </c:pt>
                <c:pt idx="4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1-40B2-8669-BB02431F8D1D}"/>
            </c:ext>
          </c:extLst>
        </c:ser>
        <c:ser>
          <c:idx val="3"/>
          <c:order val="3"/>
          <c:tx>
            <c:strRef>
              <c:f>Analysis!$B$29</c:f>
              <c:strCache>
                <c:ptCount val="1"/>
                <c:pt idx="0">
                  <c:v>D4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Analysis!$C$25:$G$25</c:f>
              <c:numCache>
                <c:formatCode>_(* #,##0_);_(* \(#,##0\);_(* "-"??_);_(@_)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numCache>
            </c:numRef>
          </c:cat>
          <c:val>
            <c:numRef>
              <c:f>Analysis!$C$29:$G$29</c:f>
              <c:numCache>
                <c:formatCode>General</c:formatCode>
                <c:ptCount val="5"/>
                <c:pt idx="0">
                  <c:v>0.08</c:v>
                </c:pt>
                <c:pt idx="1">
                  <c:v>0.35</c:v>
                </c:pt>
                <c:pt idx="2">
                  <c:v>0.62</c:v>
                </c:pt>
                <c:pt idx="3">
                  <c:v>0.89</c:v>
                </c:pt>
                <c:pt idx="4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E1-40B2-8669-BB02431F8D1D}"/>
            </c:ext>
          </c:extLst>
        </c:ser>
        <c:ser>
          <c:idx val="4"/>
          <c:order val="4"/>
          <c:tx>
            <c:strRef>
              <c:f>Analysis!$B$30</c:f>
              <c:strCache>
                <c:ptCount val="1"/>
                <c:pt idx="0">
                  <c:v>D5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Analysis!$C$25:$G$25</c:f>
              <c:numCache>
                <c:formatCode>_(* #,##0_);_(* \(#,##0\);_(* "-"??_);_(@_)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numCache>
            </c:numRef>
          </c:cat>
          <c:val>
            <c:numRef>
              <c:f>Analysis!$C$30:$G$30</c:f>
              <c:numCache>
                <c:formatCode>General</c:formatCode>
                <c:ptCount val="5"/>
                <c:pt idx="0">
                  <c:v>-0.01</c:v>
                </c:pt>
                <c:pt idx="1">
                  <c:v>0.21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1-40B2-8669-BB02431F8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73824"/>
        <c:axId val="40975744"/>
        <c:axId val="41343168"/>
      </c:bar3DChart>
      <c:catAx>
        <c:axId val="40973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Baseline Sap Yield (gal</a:t>
                </a:r>
                <a:r>
                  <a:rPr lang="en-US" baseline="0"/>
                  <a:t> per </a:t>
                </a:r>
                <a:r>
                  <a:rPr lang="en-US"/>
                  <a:t>tap)</a:t>
                </a:r>
              </a:p>
            </c:rich>
          </c:tx>
          <c:layout>
            <c:manualLayout>
              <c:xMode val="edge"/>
              <c:yMode val="edge"/>
              <c:x val="0.25246754207652827"/>
              <c:y val="0.9302045787782201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low"/>
        <c:txPr>
          <a:bodyPr anchor="ctr" anchorCtr="1"/>
          <a:lstStyle/>
          <a:p>
            <a:pPr>
              <a:defRPr b="1"/>
            </a:pPr>
            <a:endParaRPr lang="en-US"/>
          </a:p>
        </c:txPr>
        <c:crossAx val="40975744"/>
        <c:crosses val="autoZero"/>
        <c:auto val="1"/>
        <c:lblAlgn val="ctr"/>
        <c:lblOffset val="100"/>
        <c:noMultiLvlLbl val="0"/>
      </c:catAx>
      <c:valAx>
        <c:axId val="40975744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Annual Net Profit ($ per tap)</a:t>
                </a:r>
              </a:p>
            </c:rich>
          </c:tx>
          <c:layout>
            <c:manualLayout>
              <c:xMode val="edge"/>
              <c:yMode val="edge"/>
              <c:x val="2.3747439581921697E-2"/>
              <c:y val="0.13165824322401062"/>
            </c:manualLayout>
          </c:layout>
          <c:overlay val="0"/>
        </c:title>
        <c:numFmt formatCode="&quot;$&quot;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973824"/>
        <c:crosses val="autoZero"/>
        <c:crossBetween val="between"/>
      </c:valAx>
      <c:serAx>
        <c:axId val="413431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975744"/>
        <c:crosses val="autoZero"/>
      </c:ser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93441867063913"/>
          <c:y val="4.6905448605996491E-2"/>
          <c:w val="0.79096039937575369"/>
          <c:h val="0.79146931728590963"/>
        </c:manualLayout>
      </c:layout>
      <c:scatterChart>
        <c:scatterStyle val="lineMarker"/>
        <c:varyColors val="0"/>
        <c:ser>
          <c:idx val="1"/>
          <c:order val="0"/>
          <c:tx>
            <c:v>No Replacement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 w="28575">
                <a:solidFill>
                  <a:srgbClr val="7030A0"/>
                </a:solidFill>
              </a:ln>
            </c:spPr>
            <c:trendlineType val="log"/>
            <c:dispRSqr val="0"/>
            <c:dispEq val="0"/>
          </c:trendline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Calculations!$C$13:$C$18</c:f>
              <c:numCache>
                <c:formatCode>0.0</c:formatCode>
                <c:ptCount val="6"/>
                <c:pt idx="0">
                  <c:v>20</c:v>
                </c:pt>
                <c:pt idx="1">
                  <c:v>17.100000000000001</c:v>
                </c:pt>
                <c:pt idx="2">
                  <c:v>15.600000000000001</c:v>
                </c:pt>
                <c:pt idx="3">
                  <c:v>14.399999999999999</c:v>
                </c:pt>
                <c:pt idx="4">
                  <c:v>13.600000000000001</c:v>
                </c:pt>
                <c:pt idx="5">
                  <c:v>12.9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01-4300-B42A-93BB8FC42ED8}"/>
            </c:ext>
          </c:extLst>
        </c:ser>
        <c:ser>
          <c:idx val="2"/>
          <c:order val="1"/>
          <c:tx>
            <c:v>Spouts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Calculations!$D$13:$D$18</c:f>
              <c:numCache>
                <c:formatCode>0.0</c:formatCode>
                <c:ptCount val="6"/>
                <c:pt idx="0">
                  <c:v>20</c:v>
                </c:pt>
                <c:pt idx="1">
                  <c:v>18.5</c:v>
                </c:pt>
                <c:pt idx="2">
                  <c:v>17.3</c:v>
                </c:pt>
                <c:pt idx="3">
                  <c:v>16.200000000000003</c:v>
                </c:pt>
                <c:pt idx="4">
                  <c:v>15.3</c:v>
                </c:pt>
                <c:pt idx="5">
                  <c:v>14.512499999999999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01-4300-B42A-93BB8FC42ED8}"/>
            </c:ext>
          </c:extLst>
        </c:ser>
        <c:ser>
          <c:idx val="3"/>
          <c:order val="2"/>
          <c:tx>
            <c:v>Drops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Calculations!$F$13:$F$18</c:f>
              <c:numCache>
                <c:formatCode>0.0</c:formatCode>
                <c:ptCount val="6"/>
                <c:pt idx="0">
                  <c:v>20</c:v>
                </c:pt>
                <c:pt idx="1">
                  <c:v>19.8</c:v>
                </c:pt>
                <c:pt idx="2">
                  <c:v>19.600000000000001</c:v>
                </c:pt>
                <c:pt idx="3">
                  <c:v>19.399999999999999</c:v>
                </c:pt>
                <c:pt idx="4">
                  <c:v>19.2</c:v>
                </c:pt>
                <c:pt idx="5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001-4300-B42A-93BB8FC42ED8}"/>
            </c:ext>
          </c:extLst>
        </c:ser>
        <c:ser>
          <c:idx val="4"/>
          <c:order val="3"/>
          <c:tx>
            <c:v>Check-valves</c:v>
          </c:tx>
          <c:spPr>
            <a:ln w="28575"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Calculations!$E$13:$E$18</c:f>
              <c:numCache>
                <c:formatCode>0.0</c:formatCode>
                <c:ptCount val="6"/>
                <c:pt idx="0">
                  <c:v>20</c:v>
                </c:pt>
                <c:pt idx="1">
                  <c:v>19.2</c:v>
                </c:pt>
                <c:pt idx="2">
                  <c:v>18.799999999999997</c:v>
                </c:pt>
                <c:pt idx="3">
                  <c:v>18.400000000000002</c:v>
                </c:pt>
                <c:pt idx="4">
                  <c:v>18</c:v>
                </c:pt>
                <c:pt idx="5">
                  <c:v>17.600000000000001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001-4300-B42A-93BB8FC42ED8}"/>
            </c:ext>
          </c:extLst>
        </c:ser>
        <c:ser>
          <c:idx val="0"/>
          <c:order val="4"/>
          <c:tx>
            <c:v>Drops x 3 Yrs</c:v>
          </c:tx>
          <c:spPr>
            <a:ln w="28575">
              <a:solidFill>
                <a:srgbClr val="FFFF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Calculations!$H$13:$H$18</c:f>
              <c:numCache>
                <c:formatCode>0.0</c:formatCode>
                <c:ptCount val="6"/>
                <c:pt idx="0">
                  <c:v>20</c:v>
                </c:pt>
                <c:pt idx="1">
                  <c:v>18.5</c:v>
                </c:pt>
                <c:pt idx="2">
                  <c:v>17.3</c:v>
                </c:pt>
                <c:pt idx="3">
                  <c:v>19.399999999999999</c:v>
                </c:pt>
                <c:pt idx="4">
                  <c:v>17.945</c:v>
                </c:pt>
                <c:pt idx="5">
                  <c:v>16.780999999999999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01-4300-B42A-93BB8FC42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88608"/>
        <c:axId val="39995264"/>
      </c:scatterChart>
      <c:valAx>
        <c:axId val="3998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95264"/>
        <c:crosses val="autoZero"/>
        <c:crossBetween val="midCat"/>
      </c:valAx>
      <c:valAx>
        <c:axId val="399952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Sap Yield (gal sap/tap)</a:t>
                </a:r>
              </a:p>
            </c:rich>
          </c:tx>
          <c:layout>
            <c:manualLayout>
              <c:xMode val="edge"/>
              <c:yMode val="edge"/>
              <c:x val="3.65990990990991E-2"/>
              <c:y val="0.2165733560871430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98860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372056232696941"/>
          <c:y val="0.43980253418892978"/>
          <c:w val="0.25775077202107727"/>
          <c:h val="0.3696555991337584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0919521884089"/>
          <c:y val="6.8029233988337004E-2"/>
          <c:w val="0.80170093814286725"/>
          <c:h val="0.79397607275834703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3.1060021635809038E-2"/>
                  <c:y val="2.491542169396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A2-4654-A9B1-EFAB220E276C}"/>
                </c:ext>
              </c:extLst>
            </c:dLbl>
            <c:dLbl>
              <c:idx val="2"/>
              <c:layout>
                <c:manualLayout>
                  <c:x val="-5.9213174788962188E-2"/>
                  <c:y val="-4.2680691529528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2-4654-A9B1-EFAB220E276C}"/>
                </c:ext>
              </c:extLst>
            </c:dLbl>
            <c:dLbl>
              <c:idx val="3"/>
              <c:layout>
                <c:manualLayout>
                  <c:x val="-5.6954981083985508E-2"/>
                  <c:y val="3.8365989135079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A2-4654-A9B1-EFAB220E276C}"/>
                </c:ext>
              </c:extLst>
            </c:dLbl>
            <c:dLbl>
              <c:idx val="4"/>
              <c:layout>
                <c:manualLayout>
                  <c:x val="-5.9213174788962188E-2"/>
                  <c:y val="4.1814117341796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2-4654-A9B1-EFAB220E276C}"/>
                </c:ext>
              </c:extLst>
            </c:dLbl>
            <c:dLbl>
              <c:idx val="5"/>
              <c:layout>
                <c:manualLayout>
                  <c:x val="-5.6676334407970694E-2"/>
                  <c:y val="-2.8650430324116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A2-4654-A9B1-EFAB220E2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Calculations!$D$43:$D$48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0.16999999999999965</c:v>
                </c:pt>
                <c:pt idx="2">
                  <c:v>0.24499999999999983</c:v>
                </c:pt>
                <c:pt idx="3">
                  <c:v>0.27000000000000107</c:v>
                </c:pt>
                <c:pt idx="4">
                  <c:v>0.24499999999999983</c:v>
                </c:pt>
                <c:pt idx="5">
                  <c:v>0.22312499999999974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6A2-4654-A9B1-EFAB220E276C}"/>
            </c:ext>
          </c:extLst>
        </c:ser>
        <c:ser>
          <c:idx val="3"/>
          <c:order val="1"/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2"/>
              <c:layout>
                <c:manualLayout>
                  <c:x val="-3.950596758175498E-2"/>
                  <c:y val="3.0006087642086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A2-4654-A9B1-EFAB220E276C}"/>
                </c:ext>
              </c:extLst>
            </c:dLbl>
            <c:dLbl>
              <c:idx val="3"/>
              <c:layout>
                <c:manualLayout>
                  <c:x val="-7.1618587630884037E-2"/>
                  <c:y val="-3.0962583165476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A2-4654-A9B1-EFAB220E276C}"/>
                </c:ext>
              </c:extLst>
            </c:dLbl>
            <c:dLbl>
              <c:idx val="4"/>
              <c:layout>
                <c:manualLayout>
                  <c:x val="-6.2028490104277509E-2"/>
                  <c:y val="-4.181444999983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A2-4654-A9B1-EFAB220E276C}"/>
                </c:ext>
              </c:extLst>
            </c:dLbl>
            <c:dLbl>
              <c:idx val="5"/>
              <c:layout>
                <c:manualLayout>
                  <c:x val="-5.9213174788962292E-2"/>
                  <c:y val="-4.1814449999833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A2-4654-A9B1-EFAB220E2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Calculations!$F$43:$F$48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-0.62500000000000022</c:v>
                </c:pt>
                <c:pt idx="2">
                  <c:v>-0.30000000000000004</c:v>
                </c:pt>
                <c:pt idx="3">
                  <c:v>-5.0000000000000044E-2</c:v>
                </c:pt>
                <c:pt idx="4">
                  <c:v>9.9999999999999423E-2</c:v>
                </c:pt>
                <c:pt idx="5">
                  <c:v>0.22499999999999987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6A2-4654-A9B1-EFAB220E276C}"/>
            </c:ext>
          </c:extLst>
        </c:ser>
        <c:ser>
          <c:idx val="4"/>
          <c:order val="2"/>
          <c:spPr>
            <a:ln w="28575"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7.610506668085408E-2"/>
                  <c:y val="-5.466092901178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A2-4654-A9B1-EFAB220E2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Calculations!$E$43:$E$48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0.12499999999999944</c:v>
                </c:pt>
                <c:pt idx="2">
                  <c:v>0.39999999999999891</c:v>
                </c:pt>
                <c:pt idx="3">
                  <c:v>0.60000000000000087</c:v>
                </c:pt>
                <c:pt idx="4">
                  <c:v>0.69999999999999962</c:v>
                </c:pt>
                <c:pt idx="5">
                  <c:v>0.77500000000000024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6A2-4654-A9B1-EFAB220E276C}"/>
            </c:ext>
          </c:extLst>
        </c:ser>
        <c:ser>
          <c:idx val="0"/>
          <c:order val="3"/>
          <c:spPr>
            <a:ln>
              <a:solidFill>
                <a:srgbClr val="FFFF00"/>
              </a:solidFill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Calculations!$A$43:$A$48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Calculations!$H$43:$H$48</c:f>
              <c:numCache>
                <c:formatCode>_("$"* #,##0.00_);_("$"* \(#,##0.00\);_("$"* "-"??_);_(@_)</c:formatCode>
                <c:ptCount val="6"/>
                <c:pt idx="0" formatCode="General">
                  <c:v>0</c:v>
                </c:pt>
                <c:pt idx="1">
                  <c:v>0.16999999999999965</c:v>
                </c:pt>
                <c:pt idx="2">
                  <c:v>0.24499999999999983</c:v>
                </c:pt>
                <c:pt idx="3">
                  <c:v>-5.0000000000000044E-2</c:v>
                </c:pt>
                <c:pt idx="4">
                  <c:v>0.90624999999999978</c:v>
                </c:pt>
                <c:pt idx="5">
                  <c:v>0.79024999999999967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6A2-4654-A9B1-EFAB220E2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64128"/>
        <c:axId val="40066432"/>
      </c:scatterChart>
      <c:valAx>
        <c:axId val="4006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low"/>
        <c:crossAx val="40066432"/>
        <c:crosses val="autoZero"/>
        <c:crossBetween val="midCat"/>
      </c:valAx>
      <c:valAx>
        <c:axId val="400664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Profit</a:t>
                </a:r>
              </a:p>
            </c:rich>
          </c:tx>
          <c:overlay val="0"/>
        </c:title>
        <c:numFmt formatCode="&quot;$&quot;#,##0.00" sourceLinked="0"/>
        <c:majorTickMark val="out"/>
        <c:minorTickMark val="none"/>
        <c:tickLblPos val="nextTo"/>
        <c:crossAx val="400641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07195975503061"/>
          <c:y val="5.1400554097404488E-2"/>
          <c:w val="0.8033724846894138"/>
          <c:h val="0.76685549722951296"/>
        </c:manualLayout>
      </c:layout>
      <c:barChart>
        <c:barDir val="col"/>
        <c:grouping val="clustere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728-45C8-8B04-4EB99AEF532B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728-45C8-8B04-4EB99AEF532B}"/>
              </c:ext>
            </c:extLst>
          </c:dPt>
          <c:cat>
            <c:strRef>
              <c:f>Calculations!$D$56:$D$62</c:f>
              <c:strCache>
                <c:ptCount val="7"/>
                <c:pt idx="0">
                  <c:v>S</c:v>
                </c:pt>
                <c:pt idx="1">
                  <c:v>CV</c:v>
                </c:pt>
                <c:pt idx="2">
                  <c:v>D x 1</c:v>
                </c:pt>
                <c:pt idx="3">
                  <c:v>D x 2</c:v>
                </c:pt>
                <c:pt idx="4">
                  <c:v>D x 3</c:v>
                </c:pt>
                <c:pt idx="5">
                  <c:v>D x 4</c:v>
                </c:pt>
                <c:pt idx="6">
                  <c:v>D x 5</c:v>
                </c:pt>
              </c:strCache>
            </c:strRef>
          </c:cat>
          <c:val>
            <c:numRef>
              <c:f>Calculations!$E$56:$E$62</c:f>
              <c:numCache>
                <c:formatCode>_("$"* #,##0.00_);_("$"* \(#,##0.00\);_("$"* "-"??_);_(@_)</c:formatCode>
                <c:ptCount val="7"/>
                <c:pt idx="0">
                  <c:v>0.23062500000000002</c:v>
                </c:pt>
                <c:pt idx="1">
                  <c:v>0.5199999999999998</c:v>
                </c:pt>
                <c:pt idx="2">
                  <c:v>-0.1300000000000002</c:v>
                </c:pt>
                <c:pt idx="3">
                  <c:v>0.35150000000000009</c:v>
                </c:pt>
                <c:pt idx="4">
                  <c:v>0.41229999999999978</c:v>
                </c:pt>
                <c:pt idx="5">
                  <c:v>0.36400000000000005</c:v>
                </c:pt>
                <c:pt idx="6">
                  <c:v>0.23100000000000004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8-45C8-8B04-4EB99AEF5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179200"/>
        <c:axId val="40181120"/>
      </c:barChart>
      <c:catAx>
        <c:axId val="401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Replacement Strategy</a:t>
                </a:r>
              </a:p>
            </c:rich>
          </c:tx>
          <c:layout>
            <c:manualLayout>
              <c:xMode val="edge"/>
              <c:yMode val="edge"/>
              <c:x val="0.42948731408573926"/>
              <c:y val="0.906458151064450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0181120"/>
        <c:crosses val="autoZero"/>
        <c:auto val="1"/>
        <c:lblAlgn val="ctr"/>
        <c:lblOffset val="100"/>
        <c:noMultiLvlLbl val="0"/>
      </c:catAx>
      <c:valAx>
        <c:axId val="401811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Profit ($ per tap per yr)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5648330417031203"/>
            </c:manualLayout>
          </c:layout>
          <c:overlay val="0"/>
        </c:title>
        <c:numFmt formatCode="&quot;$&quot;#,##0.00" sourceLinked="0"/>
        <c:majorTickMark val="out"/>
        <c:minorTickMark val="none"/>
        <c:tickLblPos val="nextTo"/>
        <c:crossAx val="401792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3456803651955"/>
          <c:y val="8.6110396998353364E-2"/>
          <c:w val="0.84313503826312997"/>
          <c:h val="0.78190251502843133"/>
        </c:manualLayout>
      </c:layout>
      <c:barChart>
        <c:barDir val="col"/>
        <c:grouping val="clustered"/>
        <c:varyColors val="0"/>
        <c:ser>
          <c:idx val="1"/>
          <c:order val="0"/>
          <c:tx>
            <c:v>Net Profit</c:v>
          </c:tx>
          <c:spPr>
            <a:ln w="1905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1F7-4A84-BFFD-B0518C7D80F9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1F7-4A84-BFFD-B0518C7D80F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1F7-4A84-BFFD-B0518C7D80F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1F7-4A84-BFFD-B0518C7D80F9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1F7-4A84-BFFD-B0518C7D80F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1F7-4A84-BFFD-B0518C7D80F9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1F7-4A84-BFFD-B0518C7D80F9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1F7-4A84-BFFD-B0518C7D80F9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1F7-4A84-BFFD-B0518C7D80F9}"/>
              </c:ext>
            </c:extLst>
          </c:dPt>
          <c:cat>
            <c:strRef>
              <c:f>Calculations!$D$56:$D$64</c:f>
              <c:strCache>
                <c:ptCount val="9"/>
                <c:pt idx="0">
                  <c:v>S</c:v>
                </c:pt>
                <c:pt idx="1">
                  <c:v>CV</c:v>
                </c:pt>
                <c:pt idx="2">
                  <c:v>D x 1</c:v>
                </c:pt>
                <c:pt idx="3">
                  <c:v>D x 2</c:v>
                </c:pt>
                <c:pt idx="4">
                  <c:v>D x 3</c:v>
                </c:pt>
                <c:pt idx="5">
                  <c:v>D x 4</c:v>
                </c:pt>
                <c:pt idx="6">
                  <c:v>D x 5</c:v>
                </c:pt>
                <c:pt idx="7">
                  <c:v>Cln</c:v>
                </c:pt>
                <c:pt idx="8">
                  <c:v>Cln + S</c:v>
                </c:pt>
              </c:strCache>
            </c:strRef>
          </c:cat>
          <c:val>
            <c:numRef>
              <c:f>Calculations!$E$56:$E$64</c:f>
              <c:numCache>
                <c:formatCode>_("$"* #,##0.00_);_("$"* \(#,##0.00\);_("$"* "-"??_);_(@_)</c:formatCode>
                <c:ptCount val="9"/>
                <c:pt idx="0">
                  <c:v>0.23062500000000002</c:v>
                </c:pt>
                <c:pt idx="1">
                  <c:v>0.5199999999999998</c:v>
                </c:pt>
                <c:pt idx="2">
                  <c:v>-0.1300000000000002</c:v>
                </c:pt>
                <c:pt idx="3">
                  <c:v>0.35150000000000009</c:v>
                </c:pt>
                <c:pt idx="4">
                  <c:v>0.41229999999999978</c:v>
                </c:pt>
                <c:pt idx="5">
                  <c:v>0.36400000000000005</c:v>
                </c:pt>
                <c:pt idx="6">
                  <c:v>0.23100000000000004</c:v>
                </c:pt>
                <c:pt idx="7">
                  <c:v>0.11166666666666654</c:v>
                </c:pt>
                <c:pt idx="8">
                  <c:v>0.16666666666666632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1F7-4A84-BFFD-B0518C7D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0334080"/>
        <c:axId val="40335616"/>
      </c:barChart>
      <c:catAx>
        <c:axId val="4033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0335616"/>
        <c:crosses val="autoZero"/>
        <c:auto val="1"/>
        <c:lblAlgn val="ctr"/>
        <c:lblOffset val="100"/>
        <c:noMultiLvlLbl val="0"/>
      </c:catAx>
      <c:valAx>
        <c:axId val="403356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5-Yr Avg Annual Net Profit ($/tap)</a:t>
                </a:r>
              </a:p>
            </c:rich>
          </c:tx>
          <c:overlay val="0"/>
        </c:title>
        <c:numFmt formatCode="&quot;$&quot;#,##0.00" sourceLinked="0"/>
        <c:majorTickMark val="none"/>
        <c:minorTickMark val="none"/>
        <c:tickLblPos val="nextTo"/>
        <c:crossAx val="4033408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100" b="1"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Effect of Tubing Aging on Sap Yield by Treatment</a:t>
            </a:r>
          </a:p>
        </c:rich>
      </c:tx>
      <c:layout>
        <c:manualLayout>
          <c:xMode val="edge"/>
          <c:yMode val="edge"/>
          <c:x val="0.18605139353512268"/>
          <c:y val="8.276794247693170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55166715271702"/>
          <c:y val="9.242767825168037E-2"/>
          <c:w val="0.84034315155050066"/>
          <c:h val="0.74594705914747061"/>
        </c:manualLayout>
      </c:layout>
      <c:scatterChart>
        <c:scatterStyle val="lineMarker"/>
        <c:varyColors val="0"/>
        <c:ser>
          <c:idx val="1"/>
          <c:order val="0"/>
          <c:tx>
            <c:v>No Replacement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og"/>
            <c:dispRSqr val="0"/>
            <c:dispEq val="0"/>
          </c:trendline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Calculations!$C$13:$C$18</c:f>
              <c:numCache>
                <c:formatCode>0.0</c:formatCode>
                <c:ptCount val="6"/>
                <c:pt idx="0">
                  <c:v>20</c:v>
                </c:pt>
                <c:pt idx="1">
                  <c:v>17.100000000000001</c:v>
                </c:pt>
                <c:pt idx="2">
                  <c:v>15.600000000000001</c:v>
                </c:pt>
                <c:pt idx="3">
                  <c:v>14.399999999999999</c:v>
                </c:pt>
                <c:pt idx="4">
                  <c:v>13.600000000000001</c:v>
                </c:pt>
                <c:pt idx="5">
                  <c:v>12.9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38-4FA2-8FB4-6B29B597EC7E}"/>
            </c:ext>
          </c:extLst>
        </c:ser>
        <c:ser>
          <c:idx val="2"/>
          <c:order val="1"/>
          <c:tx>
            <c:v>Spouts</c:v>
          </c:tx>
          <c:spPr>
            <a:ln w="28575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Calculations!$D$13:$D$18</c:f>
              <c:numCache>
                <c:formatCode>0.0</c:formatCode>
                <c:ptCount val="6"/>
                <c:pt idx="0">
                  <c:v>20</c:v>
                </c:pt>
                <c:pt idx="1">
                  <c:v>18.5</c:v>
                </c:pt>
                <c:pt idx="2">
                  <c:v>17.3</c:v>
                </c:pt>
                <c:pt idx="3">
                  <c:v>16.200000000000003</c:v>
                </c:pt>
                <c:pt idx="4">
                  <c:v>15.3</c:v>
                </c:pt>
                <c:pt idx="5">
                  <c:v>14.512499999999999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38-4FA2-8FB4-6B29B597EC7E}"/>
            </c:ext>
          </c:extLst>
        </c:ser>
        <c:ser>
          <c:idx val="4"/>
          <c:order val="2"/>
          <c:tx>
            <c:v>Check-valves</c:v>
          </c:tx>
          <c:spPr>
            <a:ln w="28575"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Calculations!$E$13:$E$18</c:f>
              <c:numCache>
                <c:formatCode>0.0</c:formatCode>
                <c:ptCount val="6"/>
                <c:pt idx="0">
                  <c:v>20</c:v>
                </c:pt>
                <c:pt idx="1">
                  <c:v>19.2</c:v>
                </c:pt>
                <c:pt idx="2">
                  <c:v>18.799999999999997</c:v>
                </c:pt>
                <c:pt idx="3">
                  <c:v>18.400000000000002</c:v>
                </c:pt>
                <c:pt idx="4">
                  <c:v>18</c:v>
                </c:pt>
                <c:pt idx="5">
                  <c:v>17.600000000000001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138-4FA2-8FB4-6B29B597EC7E}"/>
            </c:ext>
          </c:extLst>
        </c:ser>
        <c:ser>
          <c:idx val="3"/>
          <c:order val="3"/>
          <c:tx>
            <c:v>Drops x 1 Yr</c:v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Calculations!$F$13:$F$18</c:f>
              <c:numCache>
                <c:formatCode>0.0</c:formatCode>
                <c:ptCount val="6"/>
                <c:pt idx="0">
                  <c:v>20</c:v>
                </c:pt>
                <c:pt idx="1">
                  <c:v>19.8</c:v>
                </c:pt>
                <c:pt idx="2">
                  <c:v>19.600000000000001</c:v>
                </c:pt>
                <c:pt idx="3">
                  <c:v>19.399999999999999</c:v>
                </c:pt>
                <c:pt idx="4">
                  <c:v>19.2</c:v>
                </c:pt>
                <c:pt idx="5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138-4FA2-8FB4-6B29B597EC7E}"/>
            </c:ext>
          </c:extLst>
        </c:ser>
        <c:ser>
          <c:idx val="0"/>
          <c:order val="4"/>
          <c:tx>
            <c:v>Drops x 3 Yrs</c:v>
          </c:tx>
          <c:spPr>
            <a:ln w="28575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Calculations!$H$13:$H$18</c:f>
              <c:numCache>
                <c:formatCode>0.0</c:formatCode>
                <c:ptCount val="6"/>
                <c:pt idx="0">
                  <c:v>20</c:v>
                </c:pt>
                <c:pt idx="1">
                  <c:v>18.5</c:v>
                </c:pt>
                <c:pt idx="2">
                  <c:v>17.3</c:v>
                </c:pt>
                <c:pt idx="3">
                  <c:v>19.399999999999999</c:v>
                </c:pt>
                <c:pt idx="4">
                  <c:v>17.945</c:v>
                </c:pt>
                <c:pt idx="5">
                  <c:v>16.780999999999999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38-4FA2-8FB4-6B29B597EC7E}"/>
            </c:ext>
          </c:extLst>
        </c:ser>
        <c:ser>
          <c:idx val="6"/>
          <c:order val="5"/>
          <c:tx>
            <c:strRef>
              <c:f>Calculations!$D$63</c:f>
              <c:strCache>
                <c:ptCount val="1"/>
                <c:pt idx="0">
                  <c:v>Cln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Calculations!$K$13:$K$18</c:f>
              <c:numCache>
                <c:formatCode>0.0</c:formatCode>
                <c:ptCount val="6"/>
                <c:pt idx="0">
                  <c:v>20</c:v>
                </c:pt>
                <c:pt idx="1">
                  <c:v>18.2</c:v>
                </c:pt>
                <c:pt idx="2">
                  <c:v>17</c:v>
                </c:pt>
                <c:pt idx="3">
                  <c:v>15.9</c:v>
                </c:pt>
                <c:pt idx="4">
                  <c:v>14.9</c:v>
                </c:pt>
                <c:pt idx="5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38-4FA2-8FB4-6B29B597EC7E}"/>
            </c:ext>
          </c:extLst>
        </c:ser>
        <c:ser>
          <c:idx val="5"/>
          <c:order val="6"/>
          <c:tx>
            <c:strRef>
              <c:f>Calculations!$D$64</c:f>
              <c:strCache>
                <c:ptCount val="1"/>
                <c:pt idx="0">
                  <c:v>Cln + S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Calculations!$L$13:$L$18</c:f>
              <c:numCache>
                <c:formatCode>0.0</c:formatCode>
                <c:ptCount val="6"/>
                <c:pt idx="0">
                  <c:v>20</c:v>
                </c:pt>
                <c:pt idx="1">
                  <c:v>18.799999999999997</c:v>
                </c:pt>
                <c:pt idx="2">
                  <c:v>17.8</c:v>
                </c:pt>
                <c:pt idx="3">
                  <c:v>16.899999999999999</c:v>
                </c:pt>
                <c:pt idx="4">
                  <c:v>16</c:v>
                </c:pt>
                <c:pt idx="5">
                  <c:v>15.2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138-4FA2-8FB4-6B29B597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21440"/>
        <c:axId val="39436288"/>
      </c:scatterChart>
      <c:valAx>
        <c:axId val="394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436288"/>
        <c:crosses val="autoZero"/>
        <c:crossBetween val="midCat"/>
      </c:valAx>
      <c:valAx>
        <c:axId val="3943628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Sap Yield (gal sap/tap)</a:t>
                </a:r>
              </a:p>
            </c:rich>
          </c:tx>
          <c:layout>
            <c:manualLayout>
              <c:xMode val="edge"/>
              <c:yMode val="edge"/>
              <c:x val="1.9517877268223318E-2"/>
              <c:y val="0.2165734057548361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4214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0.13839779602706873"/>
          <c:y val="0.38579952392437317"/>
          <c:w val="0.22929703433485918"/>
          <c:h val="0.4188725898317301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Effect of Tubing Aging on Net Profit by Treatment</a:t>
            </a:r>
          </a:p>
        </c:rich>
      </c:tx>
      <c:layout>
        <c:manualLayout>
          <c:xMode val="edge"/>
          <c:yMode val="edge"/>
          <c:x val="0.17884445044522618"/>
          <c:y val="1.88087681441669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54762265293759"/>
          <c:y val="9.4399753718449608E-2"/>
          <c:w val="0.84016240157480315"/>
          <c:h val="0.76760546735587687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Calculations!$D$43:$D$48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0.16999999999999965</c:v>
                </c:pt>
                <c:pt idx="2">
                  <c:v>0.24499999999999983</c:v>
                </c:pt>
                <c:pt idx="3">
                  <c:v>0.27000000000000107</c:v>
                </c:pt>
                <c:pt idx="4">
                  <c:v>0.24499999999999983</c:v>
                </c:pt>
                <c:pt idx="5">
                  <c:v>0.22312499999999974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85-4CB2-B4FB-DC3FD3F6A9D6}"/>
            </c:ext>
          </c:extLst>
        </c:ser>
        <c:ser>
          <c:idx val="3"/>
          <c:order val="1"/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Calculations!$F$43:$F$48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-0.62500000000000022</c:v>
                </c:pt>
                <c:pt idx="2">
                  <c:v>-0.30000000000000004</c:v>
                </c:pt>
                <c:pt idx="3">
                  <c:v>-5.0000000000000044E-2</c:v>
                </c:pt>
                <c:pt idx="4">
                  <c:v>9.9999999999999423E-2</c:v>
                </c:pt>
                <c:pt idx="5">
                  <c:v>0.22499999999999987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85-4CB2-B4FB-DC3FD3F6A9D6}"/>
            </c:ext>
          </c:extLst>
        </c:ser>
        <c:ser>
          <c:idx val="4"/>
          <c:order val="2"/>
          <c:spPr>
            <a:ln w="28575">
              <a:solidFill>
                <a:srgbClr val="0070C0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Calculations!$A$13:$A$18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Calculations!$E$43:$E$48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0.12499999999999944</c:v>
                </c:pt>
                <c:pt idx="2">
                  <c:v>0.39999999999999891</c:v>
                </c:pt>
                <c:pt idx="3">
                  <c:v>0.60000000000000087</c:v>
                </c:pt>
                <c:pt idx="4">
                  <c:v>0.69999999999999962</c:v>
                </c:pt>
                <c:pt idx="5">
                  <c:v>0.77500000000000024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85-4CB2-B4FB-DC3FD3F6A9D6}"/>
            </c:ext>
          </c:extLst>
        </c:ser>
        <c:ser>
          <c:idx val="0"/>
          <c:order val="3"/>
          <c:spPr>
            <a:ln>
              <a:solidFill>
                <a:srgbClr val="FFFF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Calculations!$A$43:$A$48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Calculations!$H$43:$H$48</c:f>
              <c:numCache>
                <c:formatCode>_("$"* #,##0.00_);_("$"* \(#,##0.00\);_("$"* "-"??_);_(@_)</c:formatCode>
                <c:ptCount val="6"/>
                <c:pt idx="0" formatCode="General">
                  <c:v>0</c:v>
                </c:pt>
                <c:pt idx="1">
                  <c:v>0.16999999999999965</c:v>
                </c:pt>
                <c:pt idx="2">
                  <c:v>0.24499999999999983</c:v>
                </c:pt>
                <c:pt idx="3">
                  <c:v>-5.0000000000000044E-2</c:v>
                </c:pt>
                <c:pt idx="4">
                  <c:v>0.90624999999999978</c:v>
                </c:pt>
                <c:pt idx="5">
                  <c:v>0.79024999999999967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85-4CB2-B4FB-DC3FD3F6A9D6}"/>
            </c:ext>
          </c:extLst>
        </c:ser>
        <c:ser>
          <c:idx val="5"/>
          <c:order val="4"/>
          <c:tx>
            <c:strRef>
              <c:f>Calculations!$D$63</c:f>
              <c:strCache>
                <c:ptCount val="1"/>
                <c:pt idx="0">
                  <c:v>Cln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Calculations!$A$33:$A$38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Calculations!$K$43:$K$48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6.6666666666666152E-2</c:v>
                </c:pt>
                <c:pt idx="2">
                  <c:v>0.14166666666666633</c:v>
                </c:pt>
                <c:pt idx="3">
                  <c:v>0.16666666666666713</c:v>
                </c:pt>
                <c:pt idx="4">
                  <c:v>0.11666666666666642</c:v>
                </c:pt>
                <c:pt idx="5">
                  <c:v>6.6666666666666596E-2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85-4CB2-B4FB-DC3FD3F6A9D6}"/>
            </c:ext>
          </c:extLst>
        </c:ser>
        <c:ser>
          <c:idx val="1"/>
          <c:order val="5"/>
          <c:spPr>
            <a:ln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Calculations!$A$43:$A$48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Calculations!$L$43:$L$48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3.6666666666665626E-2</c:v>
                </c:pt>
                <c:pt idx="2">
                  <c:v>0.16166666666666651</c:v>
                </c:pt>
                <c:pt idx="3">
                  <c:v>0.23666666666666669</c:v>
                </c:pt>
                <c:pt idx="4">
                  <c:v>0.21166666666666634</c:v>
                </c:pt>
                <c:pt idx="5">
                  <c:v>0.18666666666666643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85-4CB2-B4FB-DC3FD3F6A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55872"/>
        <c:axId val="40662528"/>
      </c:scatterChart>
      <c:valAx>
        <c:axId val="40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Year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40662528"/>
        <c:crosses val="autoZero"/>
        <c:crossBetween val="midCat"/>
      </c:valAx>
      <c:valAx>
        <c:axId val="406625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Net Profit ($/tap)</a:t>
                </a:r>
              </a:p>
            </c:rich>
          </c:tx>
          <c:overlay val="0"/>
        </c:title>
        <c:numFmt formatCode="&quot;$&quot;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65587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47462817147857"/>
          <c:y val="5.1400554097404488E-2"/>
          <c:w val="0.80296981627296593"/>
          <c:h val="0.77148512685914261"/>
        </c:manualLayout>
      </c:layout>
      <c:lineChart>
        <c:grouping val="standard"/>
        <c:varyColors val="0"/>
        <c:ser>
          <c:idx val="0"/>
          <c:order val="0"/>
          <c:spPr>
            <a:ln w="31750"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6.1201443569553829E-2"/>
                  <c:y val="5.9710557013706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8C-49C8-89CC-26236ACFF7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8575">
                <a:solidFill>
                  <a:srgbClr val="0070C0"/>
                </a:solidFill>
                <a:prstDash val="sysDash"/>
              </a:ln>
            </c:spPr>
            <c:trendlineType val="poly"/>
            <c:order val="3"/>
            <c:dispRSqr val="0"/>
            <c:dispEq val="0"/>
          </c:trendline>
          <c:cat>
            <c:numRef>
              <c:f>Analysis!$I$37:$I$41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Analysis!$J$37:$J$41</c:f>
              <c:numCache>
                <c:formatCode>_("$"* #,##0.00_);_("$"* \(#,##0.00\);_("$"* "-"??_);_(@_)</c:formatCode>
                <c:ptCount val="5"/>
                <c:pt idx="0">
                  <c:v>0.25470588235294117</c:v>
                </c:pt>
                <c:pt idx="1">
                  <c:v>0.73411764705882354</c:v>
                </c:pt>
                <c:pt idx="2">
                  <c:v>0.75176470588235289</c:v>
                </c:pt>
                <c:pt idx="3">
                  <c:v>0.68058823529411761</c:v>
                </c:pt>
                <c:pt idx="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8C-49C8-89CC-26236ACFF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29536"/>
        <c:axId val="38931456"/>
      </c:lineChart>
      <c:catAx>
        <c:axId val="389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Dropline Replacement Interval (Years)</a:t>
                </a:r>
              </a:p>
            </c:rich>
          </c:tx>
          <c:layout>
            <c:manualLayout>
              <c:xMode val="edge"/>
              <c:yMode val="edge"/>
              <c:x val="0.34229965004374452"/>
              <c:y val="0.906458151064450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8931456"/>
        <c:crosses val="autoZero"/>
        <c:auto val="1"/>
        <c:lblAlgn val="ctr"/>
        <c:lblOffset val="100"/>
        <c:noMultiLvlLbl val="0"/>
      </c:catAx>
      <c:valAx>
        <c:axId val="38931456"/>
        <c:scaling>
          <c:orientation val="minMax"/>
          <c:max val="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Average Annual Net Profit ($ per tap)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8.8437591134441523E-2"/>
            </c:manualLayout>
          </c:layout>
          <c:overlay val="0"/>
        </c:title>
        <c:numFmt formatCode="&quot;$&quot;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8929536"/>
        <c:crosses val="autoZero"/>
        <c:crossBetween val="between"/>
        <c:majorUnit val="0.2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" l="0.7" r="0.7" t="0.75" header="0.3" footer="0.3"/>
    <c:pageSetup orientation="landscape" horizontalDpi="-3" verticalDpi="-3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95000"/>
          </a:schemeClr>
        </a:solidFill>
      </c:spPr>
    </c:floor>
    <c:sideWall>
      <c:thickness val="0"/>
      <c:spPr>
        <a:solidFill>
          <a:schemeClr val="bg1">
            <a:lumMod val="95000"/>
            <a:alpha val="29000"/>
          </a:schemeClr>
        </a:solidFill>
        <a:ln>
          <a:solidFill>
            <a:schemeClr val="tx1"/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0.13264309134948635"/>
          <c:y val="4.6668851135096133E-2"/>
          <c:w val="0.82525253705304646"/>
          <c:h val="0.9066622977298077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Analysis!$B$5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Analysis!$C$4:$H$4</c:f>
              <c:numCache>
                <c:formatCode>_("$"* #,##0.00_);_("$"* \(#,##0.00\);_("$"* "-"??_);_(@_)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</c:numCache>
            </c:numRef>
          </c:cat>
          <c:val>
            <c:numRef>
              <c:f>Analysis!$C$5:$H$5</c:f>
              <c:numCache>
                <c:formatCode>General</c:formatCode>
                <c:ptCount val="6"/>
                <c:pt idx="0">
                  <c:v>-0.42</c:v>
                </c:pt>
                <c:pt idx="1">
                  <c:v>-0.19</c:v>
                </c:pt>
                <c:pt idx="2">
                  <c:v>0.05</c:v>
                </c:pt>
                <c:pt idx="3">
                  <c:v>0.28000000000000003</c:v>
                </c:pt>
                <c:pt idx="4">
                  <c:v>0.52</c:v>
                </c:pt>
                <c:pt idx="5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257-8D8B-7F59F34AF739}"/>
            </c:ext>
          </c:extLst>
        </c:ser>
        <c:ser>
          <c:idx val="1"/>
          <c:order val="1"/>
          <c:tx>
            <c:strRef>
              <c:f>Analysis!$B$6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Analysis!$C$4:$H$4</c:f>
              <c:numCache>
                <c:formatCode>_("$"* #,##0.00_);_("$"* \(#,##0.00\);_("$"* "-"??_);_(@_)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</c:numCache>
            </c:numRef>
          </c:cat>
          <c:val>
            <c:numRef>
              <c:f>Analysis!$C$6:$H$6</c:f>
              <c:numCache>
                <c:formatCode>General</c:formatCode>
                <c:ptCount val="6"/>
                <c:pt idx="0">
                  <c:v>0.24</c:v>
                </c:pt>
                <c:pt idx="1">
                  <c:v>0.44</c:v>
                </c:pt>
                <c:pt idx="2">
                  <c:v>0.63</c:v>
                </c:pt>
                <c:pt idx="3">
                  <c:v>0.83</c:v>
                </c:pt>
                <c:pt idx="4">
                  <c:v>1.03</c:v>
                </c:pt>
                <c:pt idx="5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D-4257-8D8B-7F59F34AF739}"/>
            </c:ext>
          </c:extLst>
        </c:ser>
        <c:ser>
          <c:idx val="2"/>
          <c:order val="2"/>
          <c:tx>
            <c:strRef>
              <c:f>Analysis!$B$7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Analysis!$C$4:$H$4</c:f>
              <c:numCache>
                <c:formatCode>_("$"* #,##0.00_);_("$"* \(#,##0.00\);_("$"* "-"??_);_(@_)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</c:numCache>
            </c:numRef>
          </c:cat>
          <c:val>
            <c:numRef>
              <c:f>Analysis!$C$7:$H$7</c:f>
              <c:numCache>
                <c:formatCode>General</c:formatCode>
                <c:ptCount val="6"/>
                <c:pt idx="0">
                  <c:v>0.36</c:v>
                </c:pt>
                <c:pt idx="1">
                  <c:v>0.53</c:v>
                </c:pt>
                <c:pt idx="2">
                  <c:v>0.69</c:v>
                </c:pt>
                <c:pt idx="3">
                  <c:v>0.85</c:v>
                </c:pt>
                <c:pt idx="4">
                  <c:v>1.02</c:v>
                </c:pt>
                <c:pt idx="5">
                  <c:v>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D-4257-8D8B-7F59F34AF739}"/>
            </c:ext>
          </c:extLst>
        </c:ser>
        <c:ser>
          <c:idx val="3"/>
          <c:order val="3"/>
          <c:tx>
            <c:strRef>
              <c:f>Analysis!$B$8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Analysis!$C$4:$H$4</c:f>
              <c:numCache>
                <c:formatCode>_("$"* #,##0.00_);_("$"* \(#,##0.00\);_("$"* "-"??_);_(@_)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</c:numCache>
            </c:numRef>
          </c:cat>
          <c:val>
            <c:numRef>
              <c:f>Analysis!$C$8:$H$8</c:f>
              <c:numCache>
                <c:formatCode>General</c:formatCode>
                <c:ptCount val="6"/>
                <c:pt idx="0">
                  <c:v>0.31</c:v>
                </c:pt>
                <c:pt idx="1">
                  <c:v>0.47</c:v>
                </c:pt>
                <c:pt idx="2">
                  <c:v>0.62</c:v>
                </c:pt>
                <c:pt idx="3">
                  <c:v>0.77</c:v>
                </c:pt>
                <c:pt idx="4">
                  <c:v>0.93</c:v>
                </c:pt>
                <c:pt idx="5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D-4257-8D8B-7F59F34AF739}"/>
            </c:ext>
          </c:extLst>
        </c:ser>
        <c:ser>
          <c:idx val="4"/>
          <c:order val="4"/>
          <c:tx>
            <c:strRef>
              <c:f>Analysis!$B$9</c:f>
              <c:strCache>
                <c:ptCount val="1"/>
                <c:pt idx="0">
                  <c:v>5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Analysis!$C$4:$H$4</c:f>
              <c:numCache>
                <c:formatCode>_("$"* #,##0.00_);_("$"* \(#,##0.00\);_("$"* "-"??_);_(@_)</c:formatCode>
                <c:ptCount val="6"/>
                <c:pt idx="0">
                  <c:v>0.25</c:v>
                </c:pt>
                <c:pt idx="1">
                  <c:v>0.3</c:v>
                </c:pt>
                <c:pt idx="2">
                  <c:v>0.35</c:v>
                </c:pt>
                <c:pt idx="3">
                  <c:v>0.4</c:v>
                </c:pt>
                <c:pt idx="4">
                  <c:v>0.45</c:v>
                </c:pt>
                <c:pt idx="5">
                  <c:v>0.5</c:v>
                </c:pt>
              </c:numCache>
            </c:numRef>
          </c:cat>
          <c:val>
            <c:numRef>
              <c:f>Analysis!$C$9:$H$9</c:f>
              <c:numCache>
                <c:formatCode>General</c:formatCode>
                <c:ptCount val="6"/>
                <c:pt idx="0">
                  <c:v>0.18</c:v>
                </c:pt>
                <c:pt idx="1">
                  <c:v>0.31</c:v>
                </c:pt>
                <c:pt idx="2">
                  <c:v>0.44</c:v>
                </c:pt>
                <c:pt idx="3">
                  <c:v>0.56000000000000005</c:v>
                </c:pt>
                <c:pt idx="4">
                  <c:v>0.69</c:v>
                </c:pt>
                <c:pt idx="5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D-4257-8D8B-7F59F34AF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038976"/>
        <c:axId val="39040896"/>
        <c:axId val="40672768"/>
      </c:bar3DChart>
      <c:catAx>
        <c:axId val="39038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Sap Value ($ per gallon)</a:t>
                </a:r>
              </a:p>
            </c:rich>
          </c:tx>
          <c:layout>
            <c:manualLayout>
              <c:xMode val="edge"/>
              <c:yMode val="edge"/>
              <c:x val="0.31181472308543035"/>
              <c:y val="0.93020457877822016"/>
            </c:manualLayout>
          </c:layout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low"/>
        <c:txPr>
          <a:bodyPr anchor="ctr" anchorCtr="1"/>
          <a:lstStyle/>
          <a:p>
            <a:pPr>
              <a:defRPr b="1"/>
            </a:pPr>
            <a:endParaRPr lang="en-US"/>
          </a:p>
        </c:txPr>
        <c:crossAx val="39040896"/>
        <c:crosses val="autoZero"/>
        <c:auto val="1"/>
        <c:lblAlgn val="ctr"/>
        <c:lblOffset val="100"/>
        <c:noMultiLvlLbl val="0"/>
      </c:catAx>
      <c:valAx>
        <c:axId val="39040896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Annual Net Profit ($ per tap)</a:t>
                </a:r>
              </a:p>
            </c:rich>
          </c:tx>
          <c:layout>
            <c:manualLayout>
              <c:xMode val="edge"/>
              <c:yMode val="edge"/>
              <c:x val="1.3856242747104683E-2"/>
              <c:y val="0.13165824322401062"/>
            </c:manualLayout>
          </c:layout>
          <c:overlay val="0"/>
        </c:title>
        <c:numFmt formatCode="&quot;$&quot;#,##0.0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038976"/>
        <c:crosses val="autoZero"/>
        <c:crossBetween val="between"/>
      </c:valAx>
      <c:serAx>
        <c:axId val="4067276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9040896"/>
        <c:crosses val="autoZero"/>
      </c:ser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68580</xdr:rowOff>
    </xdr:from>
    <xdr:to>
      <xdr:col>7</xdr:col>
      <xdr:colOff>358140</xdr:colOff>
      <xdr:row>16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0</xdr:row>
      <xdr:rowOff>64770</xdr:rowOff>
    </xdr:from>
    <xdr:to>
      <xdr:col>15</xdr:col>
      <xdr:colOff>556260</xdr:colOff>
      <xdr:row>16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17</xdr:row>
      <xdr:rowOff>3810</xdr:rowOff>
    </xdr:from>
    <xdr:to>
      <xdr:col>8</xdr:col>
      <xdr:colOff>243840</xdr:colOff>
      <xdr:row>34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17</xdr:row>
      <xdr:rowOff>38100</xdr:rowOff>
    </xdr:from>
    <xdr:to>
      <xdr:col>15</xdr:col>
      <xdr:colOff>541020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0.88005</cdr:x>
      <cdr:y>0.55804</cdr:y>
    </cdr:from>
    <cdr:to>
      <cdr:x>0.93009</cdr:x>
      <cdr:y>0.99715</cdr:y>
    </cdr:to>
    <cdr:sp macro="" textlink="">
      <cdr:nvSpPr>
        <cdr:cNvPr id="2" name="TextBox 1"/>
        <cdr:cNvSpPr txBox="1"/>
      </cdr:nvSpPr>
      <cdr:spPr>
        <a:xfrm xmlns:a="http://schemas.openxmlformats.org/drawingml/2006/main" rot="18079058">
          <a:off x="3984978" y="2220880"/>
          <a:ext cx="1326710" cy="25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Drop</a:t>
          </a:r>
          <a:r>
            <a:rPr lang="en-US" sz="900" b="1" baseline="0"/>
            <a:t> Replacement (Yrs)</a:t>
          </a:r>
          <a:endParaRPr lang="en-US" sz="900" b="1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0.84147</cdr:x>
      <cdr:y>0.55047</cdr:y>
    </cdr:from>
    <cdr:to>
      <cdr:x>0.89151</cdr:x>
      <cdr:y>0.98958</cdr:y>
    </cdr:to>
    <cdr:sp macro="" textlink="">
      <cdr:nvSpPr>
        <cdr:cNvPr id="2" name="TextBox 1"/>
        <cdr:cNvSpPr txBox="1"/>
      </cdr:nvSpPr>
      <cdr:spPr>
        <a:xfrm xmlns:a="http://schemas.openxmlformats.org/drawingml/2006/main" rot="18079058">
          <a:off x="3786863" y="2198011"/>
          <a:ext cx="1326696" cy="25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Drop</a:t>
          </a:r>
          <a:r>
            <a:rPr lang="en-US" sz="900" b="1" baseline="0"/>
            <a:t> Replacement (Yrs)</a:t>
          </a:r>
          <a:endParaRPr lang="en-US" sz="9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0.78539</cdr:x>
      <cdr:y>0.13721</cdr:y>
    </cdr:from>
    <cdr:to>
      <cdr:x>0.98174</cdr:x>
      <cdr:y>0.2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31924" y="449571"/>
          <a:ext cx="982995" cy="20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Check Valves</a:t>
          </a:r>
        </a:p>
      </cdr:txBody>
    </cdr:sp>
  </cdr:relSizeAnchor>
  <cdr:relSizeAnchor xmlns:cdr="http://schemas.openxmlformats.org/drawingml/2006/chartDrawing">
    <cdr:from>
      <cdr:x>0.77879</cdr:x>
      <cdr:y>0.34109</cdr:y>
    </cdr:from>
    <cdr:to>
      <cdr:x>0.97514</cdr:x>
      <cdr:y>0.40388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98898" y="1117604"/>
          <a:ext cx="982995" cy="20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Droplines</a:t>
          </a:r>
        </a:p>
      </cdr:txBody>
    </cdr:sp>
  </cdr:relSizeAnchor>
  <cdr:relSizeAnchor xmlns:cdr="http://schemas.openxmlformats.org/drawingml/2006/chartDrawing">
    <cdr:from>
      <cdr:x>0.72653</cdr:x>
      <cdr:y>0.55039</cdr:y>
    </cdr:from>
    <cdr:to>
      <cdr:x>0.99543</cdr:x>
      <cdr:y>0.61318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637275" y="1803414"/>
          <a:ext cx="1346205" cy="205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/>
            <a:t>Spouts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26246</xdr:colOff>
      <xdr:row>1</xdr:row>
      <xdr:rowOff>27092</xdr:rowOff>
    </xdr:from>
    <xdr:to>
      <xdr:col>20</xdr:col>
      <xdr:colOff>152400</xdr:colOff>
      <xdr:row>20</xdr:row>
      <xdr:rowOff>164522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</xdr:colOff>
      <xdr:row>1</xdr:row>
      <xdr:rowOff>1692</xdr:rowOff>
    </xdr:from>
    <xdr:to>
      <xdr:col>9</xdr:col>
      <xdr:colOff>411480</xdr:colOff>
      <xdr:row>17</xdr:row>
      <xdr:rowOff>48490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25014</xdr:colOff>
      <xdr:row>17</xdr:row>
      <xdr:rowOff>49453</xdr:rowOff>
    </xdr:from>
    <xdr:to>
      <xdr:col>9</xdr:col>
      <xdr:colOff>406014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21551</xdr:colOff>
      <xdr:row>34</xdr:row>
      <xdr:rowOff>35713</xdr:rowOff>
    </xdr:from>
    <xdr:to>
      <xdr:col>20</xdr:col>
      <xdr:colOff>21551</xdr:colOff>
      <xdr:row>35</xdr:row>
      <xdr:rowOff>86998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408496" y="6325677"/>
          <a:ext cx="6026728" cy="24524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000" b="1"/>
            <a:t>Source: </a:t>
          </a:r>
          <a:r>
            <a:rPr lang="en-US" sz="1000" b="0" i="1"/>
            <a:t>http://www.uvm.edu/~pmrc/aging.pdf,</a:t>
          </a:r>
          <a:r>
            <a:rPr lang="en-US" sz="1000" b="0" i="1" baseline="0"/>
            <a:t>  </a:t>
          </a:r>
          <a:r>
            <a:rPr lang="en-US" sz="1000" b="0" i="1"/>
            <a:t>http://www.uvm.edu/~pmrc/tubing_age.pdf</a:t>
          </a:r>
        </a:p>
      </xdr:txBody>
    </xdr:sp>
    <xdr:clientData/>
  </xdr:twoCellAnchor>
  <xdr:twoCellAnchor>
    <xdr:from>
      <xdr:col>2</xdr:col>
      <xdr:colOff>580159</xdr:colOff>
      <xdr:row>15</xdr:row>
      <xdr:rowOff>17318</xdr:rowOff>
    </xdr:from>
    <xdr:to>
      <xdr:col>3</xdr:col>
      <xdr:colOff>181841</xdr:colOff>
      <xdr:row>16</xdr:row>
      <xdr:rowOff>69273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6068" y="2892136"/>
          <a:ext cx="207818" cy="23379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83127</xdr:colOff>
      <xdr:row>15</xdr:row>
      <xdr:rowOff>22513</xdr:rowOff>
    </xdr:from>
    <xdr:to>
      <xdr:col>9</xdr:col>
      <xdr:colOff>290945</xdr:colOff>
      <xdr:row>16</xdr:row>
      <xdr:rowOff>74468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841422" y="2897331"/>
          <a:ext cx="207818" cy="23379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0.15691</cdr:x>
      <cdr:y>0.01295</cdr:y>
    </cdr:from>
    <cdr:to>
      <cdr:x>0.9752</cdr:x>
      <cdr:y>0.0847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64354" y="49107"/>
          <a:ext cx="5029200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Avg</a:t>
          </a:r>
          <a:r>
            <a:rPr lang="en-US" sz="1400" b="1" baseline="0"/>
            <a:t> Annual Net Profit</a:t>
          </a:r>
          <a:r>
            <a:rPr lang="en-US" sz="1400" b="1"/>
            <a:t> Per Tap Over Seasons 2-6 (Relative</a:t>
          </a:r>
          <a:r>
            <a:rPr lang="en-US" sz="1400" b="1" baseline="0"/>
            <a:t> to No Change)</a:t>
          </a:r>
          <a:endParaRPr lang="en-US" sz="1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0.11235</cdr:x>
      <cdr:y>0.11657</cdr:y>
    </cdr:from>
    <cdr:to>
      <cdr:x>0.25309</cdr:x>
      <cdr:y>0.27098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2484" y="357745"/>
          <a:ext cx="742177" cy="473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New</a:t>
          </a:r>
        </a:p>
        <a:p xmlns:a="http://schemas.openxmlformats.org/drawingml/2006/main">
          <a:pPr algn="ctr"/>
          <a:r>
            <a:rPr lang="en-US" sz="900" b="1"/>
            <a:t>Installation</a:t>
          </a:r>
        </a:p>
      </cdr:txBody>
    </cdr:sp>
  </cdr:relSizeAnchor>
  <cdr:relSizeAnchor xmlns:cdr="http://schemas.openxmlformats.org/drawingml/2006/chartDrawing">
    <cdr:from>
      <cdr:x>0.04179</cdr:x>
      <cdr:y>0.90719</cdr:y>
    </cdr:from>
    <cdr:to>
      <cdr:x>0.41931</cdr:x>
      <cdr:y>0.9768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980" y="2979420"/>
          <a:ext cx="19964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0.10702</cdr:x>
      <cdr:y>0.3898</cdr:y>
    </cdr:from>
    <cdr:to>
      <cdr:x>0.25764</cdr:x>
      <cdr:y>0.51943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64369" y="1316002"/>
          <a:ext cx="794277" cy="437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New</a:t>
          </a:r>
        </a:p>
        <a:p xmlns:a="http://schemas.openxmlformats.org/drawingml/2006/main">
          <a:pPr algn="ctr"/>
          <a:r>
            <a:rPr lang="en-US" sz="900" b="1"/>
            <a:t>Installation</a:t>
          </a:r>
        </a:p>
      </cdr:txBody>
    </cdr:sp>
  </cdr:relSizeAnchor>
  <cdr:relSizeAnchor xmlns:cdr="http://schemas.openxmlformats.org/drawingml/2006/chartDrawing">
    <cdr:from>
      <cdr:x>0.04179</cdr:x>
      <cdr:y>0.90719</cdr:y>
    </cdr:from>
    <cdr:to>
      <cdr:x>0.41931</cdr:x>
      <cdr:y>0.9768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220980" y="2979420"/>
          <a:ext cx="19964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0.10323</cdr:x>
      <cdr:y>0.89782</cdr:y>
    </cdr:from>
    <cdr:to>
      <cdr:x>0.14264</cdr:x>
      <cdr:y>0.96852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4368" y="2968914"/>
          <a:ext cx="207818" cy="2337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0.94395</cdr:x>
      <cdr:y>0.87949</cdr:y>
    </cdr:from>
    <cdr:to>
      <cdr:x>0.98336</cdr:x>
      <cdr:y>0.95019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4977823" y="2908300"/>
          <a:ext cx="207818" cy="2337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31</xdr:row>
      <xdr:rowOff>87630</xdr:rowOff>
    </xdr:from>
    <xdr:to>
      <xdr:col>7</xdr:col>
      <xdr:colOff>464820</xdr:colOff>
      <xdr:row>49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0</xdr:row>
      <xdr:rowOff>121920</xdr:rowOff>
    </xdr:from>
    <xdr:to>
      <xdr:col>21</xdr:col>
      <xdr:colOff>297180</xdr:colOff>
      <xdr:row>16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16</xdr:row>
      <xdr:rowOff>121920</xdr:rowOff>
    </xdr:from>
    <xdr:to>
      <xdr:col>21</xdr:col>
      <xdr:colOff>297180</xdr:colOff>
      <xdr:row>32</xdr:row>
      <xdr:rowOff>118110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45720</xdr:colOff>
      <xdr:row>33</xdr:row>
      <xdr:rowOff>121920</xdr:rowOff>
    </xdr:from>
    <xdr:to>
      <xdr:col>21</xdr:col>
      <xdr:colOff>304800</xdr:colOff>
      <xdr:row>50</xdr:row>
      <xdr:rowOff>34290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0.68666</cdr:x>
      <cdr:y>0.57826</cdr:y>
    </cdr:from>
    <cdr:to>
      <cdr:x>0.90666</cdr:x>
      <cdr:y>0.77468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D50E2FE0-AFE3-4849-A9D0-FD3EF43C5E23}"/>
            </a:ext>
          </a:extLst>
        </cdr:cNvPr>
        <cdr:cNvGrpSpPr/>
      </cdr:nvGrpSpPr>
      <cdr:grpSpPr>
        <a:xfrm xmlns:a="http://schemas.openxmlformats.org/drawingml/2006/main">
          <a:off x="3392306" y="1910149"/>
          <a:ext cx="1086866" cy="648828"/>
          <a:chOff x="2895600" y="1881680"/>
          <a:chExt cx="1005840" cy="644350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2895600" y="1881680"/>
            <a:ext cx="1005840" cy="64435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tx1"/>
            </a:solidFill>
          </a:ln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endParaRPr lang="en-US" sz="800" b="1"/>
          </a:p>
          <a:p xmlns:a="http://schemas.openxmlformats.org/drawingml/2006/main">
            <a:pPr algn="ctr"/>
            <a:r>
              <a:rPr lang="en-US" sz="800" b="1"/>
              <a:t>Low Sap Value</a:t>
            </a:r>
          </a:p>
          <a:p xmlns:a="http://schemas.openxmlformats.org/drawingml/2006/main">
            <a:pPr algn="ctr"/>
            <a:r>
              <a:rPr lang="en-US" sz="800" b="1"/>
              <a:t>High</a:t>
            </a:r>
            <a:r>
              <a:rPr lang="en-US" sz="800" b="1" baseline="0"/>
              <a:t> Drop Cost</a:t>
            </a:r>
          </a:p>
          <a:p xmlns:a="http://schemas.openxmlformats.org/drawingml/2006/main">
            <a:pPr algn="ctr"/>
            <a:r>
              <a:rPr lang="en-US" sz="800" b="1" baseline="0"/>
              <a:t>Low Baseline Yield</a:t>
            </a:r>
            <a:endParaRPr lang="en-US" sz="800" b="1"/>
          </a:p>
        </cdr:txBody>
      </cdr:sp>
      <cdr:cxnSp macro="">
        <cdr:nvCxnSpPr>
          <cdr:cNvPr id="5" name="Straight Arrow Connector 4">
            <a:extLst xmlns:a="http://schemas.openxmlformats.org/drawingml/2006/main">
              <a:ext uri="{FF2B5EF4-FFF2-40B4-BE49-F238E27FC236}">
                <a16:creationId xmlns:a16="http://schemas.microsoft.com/office/drawing/2014/main" id="{0AF497F0-7738-4B25-B764-68E53250E76B}"/>
              </a:ext>
            </a:extLst>
          </cdr:cNvPr>
          <cdr:cNvCxnSpPr/>
        </cdr:nvCxnSpPr>
        <cdr:spPr>
          <a:xfrm xmlns:a="http://schemas.openxmlformats.org/drawingml/2006/main">
            <a:off x="3040380" y="2000139"/>
            <a:ext cx="754380" cy="0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0.41833</cdr:x>
      <cdr:y>0.57731</cdr:y>
    </cdr:from>
    <cdr:to>
      <cdr:x>0.635</cdr:x>
      <cdr:y>0.77236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1E41D700-F3BC-48D3-8C45-3BCE35A28524}"/>
            </a:ext>
          </a:extLst>
        </cdr:cNvPr>
        <cdr:cNvGrpSpPr/>
      </cdr:nvGrpSpPr>
      <cdr:grpSpPr>
        <a:xfrm xmlns:a="http://schemas.openxmlformats.org/drawingml/2006/main">
          <a:off x="2066676" y="1907011"/>
          <a:ext cx="1070415" cy="644303"/>
          <a:chOff x="1737354" y="1893803"/>
          <a:chExt cx="990600" cy="639847"/>
        </a:xfrm>
      </cdr:grpSpPr>
      <cdr:sp macro="" textlink="">
        <cdr:nvSpPr>
          <cdr:cNvPr id="3" name="TextBox 1"/>
          <cdr:cNvSpPr txBox="1"/>
        </cdr:nvSpPr>
        <cdr:spPr>
          <a:xfrm xmlns:a="http://schemas.openxmlformats.org/drawingml/2006/main">
            <a:off x="1737354" y="1893803"/>
            <a:ext cx="990600" cy="63984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solidFill>
              <a:schemeClr val="tx1"/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endParaRPr lang="en-US" sz="800" b="1"/>
          </a:p>
          <a:p xmlns:a="http://schemas.openxmlformats.org/drawingml/2006/main">
            <a:pPr algn="ctr"/>
            <a:r>
              <a:rPr lang="en-US" sz="800" b="1"/>
              <a:t>High Sap Value</a:t>
            </a:r>
          </a:p>
          <a:p xmlns:a="http://schemas.openxmlformats.org/drawingml/2006/main">
            <a:pPr algn="ctr"/>
            <a:r>
              <a:rPr lang="en-US" sz="800" b="1"/>
              <a:t>Low</a:t>
            </a:r>
            <a:r>
              <a:rPr lang="en-US" sz="800" b="1" baseline="0"/>
              <a:t> Drop Cost</a:t>
            </a:r>
          </a:p>
          <a:p xmlns:a="http://schemas.openxmlformats.org/drawingml/2006/main">
            <a:pPr algn="ctr"/>
            <a:r>
              <a:rPr lang="en-US" sz="800" b="1" baseline="0"/>
              <a:t>High Baseline Yield</a:t>
            </a:r>
            <a:endParaRPr lang="en-US" sz="800" b="1"/>
          </a:p>
        </cdr:txBody>
      </cdr:sp>
      <cdr:cxnSp macro="">
        <cdr:nvCxnSpPr>
          <cdr:cNvPr id="6" name="Straight Arrow Connector 5">
            <a:extLst xmlns:a="http://schemas.openxmlformats.org/drawingml/2006/main">
              <a:ext uri="{FF2B5EF4-FFF2-40B4-BE49-F238E27FC236}">
                <a16:creationId xmlns:a16="http://schemas.microsoft.com/office/drawing/2014/main" id="{370DF89B-590E-4F79-A768-5BA51C4E2D0E}"/>
              </a:ext>
            </a:extLst>
          </cdr:cNvPr>
          <cdr:cNvCxnSpPr/>
        </cdr:nvCxnSpPr>
        <cdr:spPr>
          <a:xfrm xmlns:a="http://schemas.openxmlformats.org/drawingml/2006/main">
            <a:off x="1780534" y="2022946"/>
            <a:ext cx="754380" cy="0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chemeClr val="tx1"/>
            </a:solidFill>
            <a:tailEnd type="triangle"/>
          </a:ln>
          <a:scene3d xmlns:a="http://schemas.openxmlformats.org/drawingml/2006/main">
            <a:camera prst="orthographicFront">
              <a:rot lat="0" lon="10800000" rev="0"/>
            </a:camera>
            <a:lightRig rig="threePt" dir="t"/>
          </a:scene3d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0.88005</cdr:x>
      <cdr:y>0.55804</cdr:y>
    </cdr:from>
    <cdr:to>
      <cdr:x>0.93009</cdr:x>
      <cdr:y>0.99715</cdr:y>
    </cdr:to>
    <cdr:sp macro="" textlink="">
      <cdr:nvSpPr>
        <cdr:cNvPr id="2" name="TextBox 1"/>
        <cdr:cNvSpPr txBox="1"/>
      </cdr:nvSpPr>
      <cdr:spPr>
        <a:xfrm xmlns:a="http://schemas.openxmlformats.org/drawingml/2006/main" rot="18079058">
          <a:off x="3984978" y="2220880"/>
          <a:ext cx="1326710" cy="25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 b="1"/>
            <a:t>Drop</a:t>
          </a:r>
          <a:r>
            <a:rPr lang="en-US" sz="900" b="1" baseline="0"/>
            <a:t> Replacement (Yrs)</a:t>
          </a:r>
          <a:endParaRPr lang="en-US" sz="9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E9" sqref="E9"/>
    </sheetView>
  </sheetViews>
  <sheetFormatPr defaultRowHeight="14.5" x14ac:dyDescent="0.35"/>
  <cols>
    <col min="21" max="21" width="10.90625" customWidth="1"/>
  </cols>
  <sheetData>
    <row r="1" spans="1:13" ht="18.5" x14ac:dyDescent="0.45">
      <c r="A1" s="16" t="s">
        <v>27</v>
      </c>
    </row>
    <row r="2" spans="1:13" x14ac:dyDescent="0.35">
      <c r="G2" s="1"/>
      <c r="H2" s="1"/>
      <c r="I2" s="1"/>
      <c r="J2" s="1"/>
      <c r="K2" s="1"/>
    </row>
    <row r="3" spans="1:13" x14ac:dyDescent="0.35">
      <c r="A3" s="8" t="s">
        <v>5</v>
      </c>
      <c r="C3" s="1" t="s">
        <v>1</v>
      </c>
      <c r="D3" s="1" t="s">
        <v>0</v>
      </c>
      <c r="E3" s="10" t="s">
        <v>2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68</v>
      </c>
      <c r="L3" s="24" t="s">
        <v>59</v>
      </c>
      <c r="M3" s="24"/>
    </row>
    <row r="4" spans="1:13" x14ac:dyDescent="0.35">
      <c r="A4">
        <v>1</v>
      </c>
      <c r="B4">
        <v>100</v>
      </c>
      <c r="C4" s="2">
        <v>100</v>
      </c>
      <c r="D4" s="2">
        <v>100</v>
      </c>
      <c r="E4" s="2">
        <f>F4</f>
        <v>100</v>
      </c>
      <c r="F4" s="2">
        <v>100</v>
      </c>
      <c r="G4" s="2">
        <v>100</v>
      </c>
      <c r="H4" s="2">
        <v>100</v>
      </c>
      <c r="I4" s="2">
        <f>D4</f>
        <v>100</v>
      </c>
      <c r="J4" s="2">
        <f>I4</f>
        <v>100</v>
      </c>
      <c r="K4" s="2">
        <v>100</v>
      </c>
      <c r="L4" s="2">
        <v>100</v>
      </c>
    </row>
    <row r="5" spans="1:13" x14ac:dyDescent="0.35">
      <c r="A5">
        <v>2</v>
      </c>
      <c r="B5">
        <v>100</v>
      </c>
      <c r="C5" s="2">
        <v>85.5</v>
      </c>
      <c r="D5" s="2">
        <v>92.5</v>
      </c>
      <c r="E5" s="2">
        <v>96</v>
      </c>
      <c r="F5" s="2">
        <v>99</v>
      </c>
      <c r="G5" s="2">
        <f>J5</f>
        <v>92.5</v>
      </c>
      <c r="H5" s="2">
        <v>92.5</v>
      </c>
      <c r="I5" s="2">
        <f>D5</f>
        <v>92.5</v>
      </c>
      <c r="J5" s="2">
        <f t="shared" ref="J5:J7" si="0">I5</f>
        <v>92.5</v>
      </c>
      <c r="K5" s="2">
        <v>91</v>
      </c>
      <c r="L5" s="2">
        <v>94</v>
      </c>
    </row>
    <row r="6" spans="1:13" x14ac:dyDescent="0.35">
      <c r="A6">
        <v>3</v>
      </c>
      <c r="B6">
        <v>100</v>
      </c>
      <c r="C6" s="2">
        <v>78</v>
      </c>
      <c r="D6" s="2">
        <v>86.5</v>
      </c>
      <c r="E6" s="2">
        <v>94</v>
      </c>
      <c r="F6" s="2">
        <v>98</v>
      </c>
      <c r="G6" s="2">
        <f>F6</f>
        <v>98</v>
      </c>
      <c r="H6" s="2">
        <v>86.5</v>
      </c>
      <c r="I6" s="2">
        <f>D6</f>
        <v>86.5</v>
      </c>
      <c r="J6" s="2">
        <f t="shared" si="0"/>
        <v>86.5</v>
      </c>
      <c r="K6" s="2">
        <v>85</v>
      </c>
      <c r="L6" s="2">
        <v>89</v>
      </c>
    </row>
    <row r="7" spans="1:13" x14ac:dyDescent="0.35">
      <c r="A7">
        <v>4</v>
      </c>
      <c r="B7">
        <v>100</v>
      </c>
      <c r="C7" s="2">
        <v>72</v>
      </c>
      <c r="D7" s="2">
        <f t="shared" ref="D7:D9" si="1">C7*1.125</f>
        <v>81</v>
      </c>
      <c r="E7" s="2">
        <v>92</v>
      </c>
      <c r="F7" s="2">
        <v>97</v>
      </c>
      <c r="G7" s="2">
        <f>G6*0.925</f>
        <v>90.65</v>
      </c>
      <c r="H7" s="2">
        <v>97</v>
      </c>
      <c r="I7" s="2">
        <f>D7</f>
        <v>81</v>
      </c>
      <c r="J7" s="2">
        <f t="shared" si="0"/>
        <v>81</v>
      </c>
      <c r="K7" s="2">
        <v>79.5</v>
      </c>
      <c r="L7" s="2">
        <v>84.5</v>
      </c>
    </row>
    <row r="8" spans="1:13" x14ac:dyDescent="0.35">
      <c r="A8">
        <v>5</v>
      </c>
      <c r="B8">
        <v>100</v>
      </c>
      <c r="C8" s="2">
        <v>68</v>
      </c>
      <c r="D8" s="2">
        <f t="shared" si="1"/>
        <v>76.5</v>
      </c>
      <c r="E8" s="2">
        <v>90</v>
      </c>
      <c r="F8" s="2">
        <v>96</v>
      </c>
      <c r="G8" s="2">
        <f>F8</f>
        <v>96</v>
      </c>
      <c r="H8" s="2">
        <f>H7*0.925</f>
        <v>89.725000000000009</v>
      </c>
      <c r="I8" s="2">
        <f>F8</f>
        <v>96</v>
      </c>
      <c r="J8" s="2">
        <f>D8</f>
        <v>76.5</v>
      </c>
      <c r="K8" s="2">
        <v>74.5</v>
      </c>
      <c r="L8" s="2">
        <v>80</v>
      </c>
    </row>
    <row r="9" spans="1:13" x14ac:dyDescent="0.35">
      <c r="A9">
        <v>6</v>
      </c>
      <c r="B9">
        <v>100</v>
      </c>
      <c r="C9" s="2">
        <v>64.5</v>
      </c>
      <c r="D9" s="2">
        <f t="shared" si="1"/>
        <v>72.5625</v>
      </c>
      <c r="E9" s="2">
        <v>88</v>
      </c>
      <c r="F9" s="2">
        <v>95</v>
      </c>
      <c r="G9" s="2">
        <f>G8*0.925</f>
        <v>88.800000000000011</v>
      </c>
      <c r="H9" s="2">
        <f>(H7*0.865)</f>
        <v>83.905000000000001</v>
      </c>
      <c r="I9" s="2">
        <f>(I8*0.925)</f>
        <v>88.800000000000011</v>
      </c>
      <c r="J9" s="2">
        <f>F9</f>
        <v>95</v>
      </c>
      <c r="K9" s="2">
        <v>70</v>
      </c>
      <c r="L9" s="2">
        <v>76</v>
      </c>
    </row>
    <row r="10" spans="1:13" x14ac:dyDescent="0.35">
      <c r="B10" s="2"/>
      <c r="C10" s="2"/>
      <c r="D10" s="2"/>
      <c r="F10" s="2"/>
    </row>
    <row r="11" spans="1:13" x14ac:dyDescent="0.35">
      <c r="A11" s="8" t="s">
        <v>21</v>
      </c>
      <c r="C11" s="3"/>
      <c r="D11" s="4"/>
      <c r="E11" s="5"/>
      <c r="F11" s="4"/>
      <c r="G11" s="1"/>
      <c r="H11" s="1"/>
      <c r="I11" s="1"/>
      <c r="J11" s="1"/>
      <c r="K11" s="1"/>
    </row>
    <row r="12" spans="1:13" x14ac:dyDescent="0.35">
      <c r="A12" s="11">
        <f>Model!M33</f>
        <v>20</v>
      </c>
      <c r="C12" s="1" t="s">
        <v>1</v>
      </c>
      <c r="D12" s="1" t="s">
        <v>0</v>
      </c>
      <c r="E12" s="10" t="s">
        <v>2</v>
      </c>
      <c r="F12" s="10" t="s">
        <v>14</v>
      </c>
      <c r="G12" s="10" t="s">
        <v>15</v>
      </c>
      <c r="H12" s="10" t="s">
        <v>16</v>
      </c>
      <c r="I12" s="10" t="s">
        <v>17</v>
      </c>
      <c r="J12" s="10" t="s">
        <v>18</v>
      </c>
      <c r="K12" s="10" t="s">
        <v>68</v>
      </c>
      <c r="L12" s="24" t="s">
        <v>59</v>
      </c>
    </row>
    <row r="13" spans="1:13" x14ac:dyDescent="0.35">
      <c r="A13">
        <v>1</v>
      </c>
      <c r="B13" s="2">
        <f>$A$12*(B4/100)</f>
        <v>20</v>
      </c>
      <c r="C13" s="2">
        <f t="shared" ref="C13:J13" si="2">$A$12*(C4/100)</f>
        <v>20</v>
      </c>
      <c r="D13" s="2">
        <f t="shared" si="2"/>
        <v>20</v>
      </c>
      <c r="E13" s="2">
        <f t="shared" ref="E13:E18" si="3">$A$12*(E4/100)</f>
        <v>20</v>
      </c>
      <c r="F13" s="2">
        <f t="shared" si="2"/>
        <v>20</v>
      </c>
      <c r="G13" s="2">
        <f t="shared" si="2"/>
        <v>20</v>
      </c>
      <c r="H13" s="2">
        <f t="shared" si="2"/>
        <v>20</v>
      </c>
      <c r="I13" s="2">
        <f t="shared" si="2"/>
        <v>20</v>
      </c>
      <c r="J13" s="2">
        <f t="shared" si="2"/>
        <v>20</v>
      </c>
      <c r="K13" s="2">
        <f t="shared" ref="K13" si="4">$A$12*(K4/100)</f>
        <v>20</v>
      </c>
      <c r="L13" s="2">
        <f t="shared" ref="L13" si="5">$A$12*(L4/100)</f>
        <v>20</v>
      </c>
    </row>
    <row r="14" spans="1:13" x14ac:dyDescent="0.35">
      <c r="A14">
        <v>2</v>
      </c>
      <c r="B14" s="2">
        <f t="shared" ref="B14:J18" si="6">$A$12*(B5/100)</f>
        <v>20</v>
      </c>
      <c r="C14" s="2">
        <f t="shared" si="6"/>
        <v>17.100000000000001</v>
      </c>
      <c r="D14" s="2">
        <f t="shared" si="6"/>
        <v>18.5</v>
      </c>
      <c r="E14" s="2">
        <f t="shared" si="3"/>
        <v>19.2</v>
      </c>
      <c r="F14" s="2">
        <f t="shared" si="6"/>
        <v>19.8</v>
      </c>
      <c r="G14" s="2">
        <f t="shared" si="6"/>
        <v>18.5</v>
      </c>
      <c r="H14" s="2">
        <f t="shared" si="6"/>
        <v>18.5</v>
      </c>
      <c r="I14" s="2">
        <f t="shared" si="6"/>
        <v>18.5</v>
      </c>
      <c r="J14" s="2">
        <f t="shared" si="6"/>
        <v>18.5</v>
      </c>
      <c r="K14" s="2">
        <f t="shared" ref="K14" si="7">$A$12*(K5/100)</f>
        <v>18.2</v>
      </c>
      <c r="L14" s="2">
        <f t="shared" ref="L14" si="8">$A$12*(L5/100)</f>
        <v>18.799999999999997</v>
      </c>
      <c r="M14" s="2"/>
    </row>
    <row r="15" spans="1:13" x14ac:dyDescent="0.35">
      <c r="A15">
        <v>3</v>
      </c>
      <c r="B15" s="2">
        <f t="shared" si="6"/>
        <v>20</v>
      </c>
      <c r="C15" s="2">
        <f t="shared" si="6"/>
        <v>15.600000000000001</v>
      </c>
      <c r="D15" s="2">
        <f t="shared" si="6"/>
        <v>17.3</v>
      </c>
      <c r="E15" s="2">
        <f t="shared" si="3"/>
        <v>18.799999999999997</v>
      </c>
      <c r="F15" s="2">
        <f t="shared" si="6"/>
        <v>19.600000000000001</v>
      </c>
      <c r="G15" s="2">
        <f t="shared" si="6"/>
        <v>19.600000000000001</v>
      </c>
      <c r="H15" s="2">
        <f t="shared" si="6"/>
        <v>17.3</v>
      </c>
      <c r="I15" s="2">
        <f t="shared" si="6"/>
        <v>17.3</v>
      </c>
      <c r="J15" s="2">
        <f t="shared" si="6"/>
        <v>17.3</v>
      </c>
      <c r="K15" s="2">
        <f t="shared" ref="K15" si="9">$A$12*(K6/100)</f>
        <v>17</v>
      </c>
      <c r="L15" s="2">
        <f t="shared" ref="L15" si="10">$A$12*(L6/100)</f>
        <v>17.8</v>
      </c>
      <c r="M15" s="2"/>
    </row>
    <row r="16" spans="1:13" x14ac:dyDescent="0.35">
      <c r="A16">
        <v>4</v>
      </c>
      <c r="B16" s="2">
        <f t="shared" si="6"/>
        <v>20</v>
      </c>
      <c r="C16" s="2">
        <f t="shared" si="6"/>
        <v>14.399999999999999</v>
      </c>
      <c r="D16" s="2">
        <f t="shared" si="6"/>
        <v>16.200000000000003</v>
      </c>
      <c r="E16" s="2">
        <f t="shared" si="3"/>
        <v>18.400000000000002</v>
      </c>
      <c r="F16" s="2">
        <f t="shared" si="6"/>
        <v>19.399999999999999</v>
      </c>
      <c r="G16" s="2">
        <f t="shared" si="6"/>
        <v>18.130000000000003</v>
      </c>
      <c r="H16" s="2">
        <f t="shared" si="6"/>
        <v>19.399999999999999</v>
      </c>
      <c r="I16" s="2">
        <f t="shared" si="6"/>
        <v>16.200000000000003</v>
      </c>
      <c r="J16" s="2">
        <f t="shared" si="6"/>
        <v>16.200000000000003</v>
      </c>
      <c r="K16" s="2">
        <f t="shared" ref="K16" si="11">$A$12*(K7/100)</f>
        <v>15.9</v>
      </c>
      <c r="L16" s="2">
        <f t="shared" ref="L16" si="12">$A$12*(L7/100)</f>
        <v>16.899999999999999</v>
      </c>
      <c r="M16" s="2"/>
    </row>
    <row r="17" spans="1:13" x14ac:dyDescent="0.35">
      <c r="A17">
        <v>5</v>
      </c>
      <c r="B17" s="2">
        <f t="shared" si="6"/>
        <v>20</v>
      </c>
      <c r="C17" s="2">
        <f t="shared" si="6"/>
        <v>13.600000000000001</v>
      </c>
      <c r="D17" s="2">
        <f t="shared" si="6"/>
        <v>15.3</v>
      </c>
      <c r="E17" s="2">
        <f t="shared" si="3"/>
        <v>18</v>
      </c>
      <c r="F17" s="2">
        <f t="shared" si="6"/>
        <v>19.2</v>
      </c>
      <c r="G17" s="2">
        <f t="shared" si="6"/>
        <v>19.2</v>
      </c>
      <c r="H17" s="2">
        <f t="shared" si="6"/>
        <v>17.945</v>
      </c>
      <c r="I17" s="2">
        <f t="shared" si="6"/>
        <v>19.2</v>
      </c>
      <c r="J17" s="2">
        <f t="shared" si="6"/>
        <v>15.3</v>
      </c>
      <c r="K17" s="2">
        <f t="shared" ref="K17" si="13">$A$12*(K8/100)</f>
        <v>14.9</v>
      </c>
      <c r="L17" s="2">
        <f t="shared" ref="L17" si="14">$A$12*(L8/100)</f>
        <v>16</v>
      </c>
      <c r="M17" s="2"/>
    </row>
    <row r="18" spans="1:13" x14ac:dyDescent="0.35">
      <c r="A18">
        <v>6</v>
      </c>
      <c r="B18" s="2">
        <f t="shared" si="6"/>
        <v>20</v>
      </c>
      <c r="C18" s="2">
        <f t="shared" si="6"/>
        <v>12.9</v>
      </c>
      <c r="D18" s="2">
        <f t="shared" si="6"/>
        <v>14.512499999999999</v>
      </c>
      <c r="E18" s="2">
        <f t="shared" si="3"/>
        <v>17.600000000000001</v>
      </c>
      <c r="F18" s="2">
        <f t="shared" si="6"/>
        <v>19</v>
      </c>
      <c r="G18" s="2">
        <f t="shared" si="6"/>
        <v>17.760000000000002</v>
      </c>
      <c r="H18" s="2">
        <f t="shared" si="6"/>
        <v>16.780999999999999</v>
      </c>
      <c r="I18" s="2">
        <f t="shared" si="6"/>
        <v>17.760000000000002</v>
      </c>
      <c r="J18" s="2">
        <f t="shared" si="6"/>
        <v>19</v>
      </c>
      <c r="K18" s="2">
        <f t="shared" ref="K18" si="15">$A$12*(K9/100)</f>
        <v>14</v>
      </c>
      <c r="L18" s="2">
        <f t="shared" ref="L18" si="16">$A$12*(L9/100)</f>
        <v>15.2</v>
      </c>
      <c r="M18" s="2"/>
    </row>
    <row r="19" spans="1:13" x14ac:dyDescent="0.35">
      <c r="C19" s="2"/>
      <c r="D19" s="2"/>
      <c r="E19" s="2"/>
      <c r="F19" s="2"/>
      <c r="H19" s="2"/>
    </row>
    <row r="20" spans="1:13" x14ac:dyDescent="0.35">
      <c r="B20" s="2"/>
      <c r="C20" s="2"/>
      <c r="D20" s="2"/>
      <c r="E20" s="2"/>
      <c r="F20" s="2"/>
    </row>
    <row r="21" spans="1:13" x14ac:dyDescent="0.35">
      <c r="A21" s="8" t="s">
        <v>6</v>
      </c>
      <c r="B21" s="2"/>
      <c r="C21" s="7"/>
      <c r="D21" s="7"/>
      <c r="E21" s="7"/>
      <c r="F21" s="7"/>
      <c r="G21" s="7"/>
      <c r="H21" s="7"/>
      <c r="I21" s="7"/>
      <c r="J21" s="7"/>
      <c r="K21" s="7"/>
    </row>
    <row r="22" spans="1:13" x14ac:dyDescent="0.35">
      <c r="A22" s="12">
        <f>Model!M34</f>
        <v>0.25</v>
      </c>
      <c r="B22" s="2"/>
      <c r="C22" s="10" t="s">
        <v>1</v>
      </c>
      <c r="D22" s="10" t="s">
        <v>0</v>
      </c>
      <c r="E22" s="10" t="s">
        <v>2</v>
      </c>
      <c r="F22" s="10" t="s">
        <v>14</v>
      </c>
      <c r="G22" s="10" t="s">
        <v>15</v>
      </c>
      <c r="H22" s="10" t="s">
        <v>16</v>
      </c>
      <c r="I22" s="10" t="s">
        <v>17</v>
      </c>
      <c r="J22" s="10" t="s">
        <v>18</v>
      </c>
      <c r="K22" s="10" t="s">
        <v>68</v>
      </c>
      <c r="L22" s="24" t="s">
        <v>59</v>
      </c>
    </row>
    <row r="23" spans="1:13" x14ac:dyDescent="0.35">
      <c r="A23">
        <v>1</v>
      </c>
      <c r="B23" s="2">
        <f>B13*0.5</f>
        <v>10</v>
      </c>
      <c r="C23" s="2">
        <f>C13*$A$22</f>
        <v>5</v>
      </c>
      <c r="D23" s="2">
        <f t="shared" ref="D23:J23" si="17">D13*$A$22</f>
        <v>5</v>
      </c>
      <c r="E23" s="2">
        <f t="shared" ref="E23:E28" si="18">E13*$A$22</f>
        <v>5</v>
      </c>
      <c r="F23" s="2">
        <f t="shared" si="17"/>
        <v>5</v>
      </c>
      <c r="G23" s="2">
        <f t="shared" si="17"/>
        <v>5</v>
      </c>
      <c r="H23" s="2">
        <f t="shared" si="17"/>
        <v>5</v>
      </c>
      <c r="I23" s="2">
        <f t="shared" si="17"/>
        <v>5</v>
      </c>
      <c r="J23" s="2">
        <f t="shared" si="17"/>
        <v>5</v>
      </c>
      <c r="K23" s="2">
        <f t="shared" ref="K23" si="19">K13*$A$22</f>
        <v>5</v>
      </c>
      <c r="L23" s="2">
        <f t="shared" ref="L23" si="20">L13*$A$22</f>
        <v>5</v>
      </c>
    </row>
    <row r="24" spans="1:13" x14ac:dyDescent="0.35">
      <c r="A24">
        <v>2</v>
      </c>
      <c r="B24" s="2">
        <f t="shared" ref="B24" si="21">B14*0.5</f>
        <v>10</v>
      </c>
      <c r="C24" s="2">
        <f t="shared" ref="C24:J28" si="22">C14*$A$22</f>
        <v>4.2750000000000004</v>
      </c>
      <c r="D24" s="2">
        <f t="shared" si="22"/>
        <v>4.625</v>
      </c>
      <c r="E24" s="2">
        <f t="shared" si="18"/>
        <v>4.8</v>
      </c>
      <c r="F24" s="2">
        <f t="shared" si="22"/>
        <v>4.95</v>
      </c>
      <c r="G24" s="2">
        <f t="shared" si="22"/>
        <v>4.625</v>
      </c>
      <c r="H24" s="2">
        <f t="shared" si="22"/>
        <v>4.625</v>
      </c>
      <c r="I24" s="2">
        <f t="shared" si="22"/>
        <v>4.625</v>
      </c>
      <c r="J24" s="2">
        <f t="shared" si="22"/>
        <v>4.625</v>
      </c>
      <c r="K24" s="2">
        <f t="shared" ref="K24" si="23">K14*$A$22</f>
        <v>4.55</v>
      </c>
      <c r="L24" s="2">
        <f t="shared" ref="L24" si="24">L14*$A$22</f>
        <v>4.6999999999999993</v>
      </c>
    </row>
    <row r="25" spans="1:13" x14ac:dyDescent="0.35">
      <c r="A25">
        <v>3</v>
      </c>
      <c r="B25" s="2">
        <f t="shared" ref="B25" si="25">B15*0.5</f>
        <v>10</v>
      </c>
      <c r="C25" s="2">
        <f t="shared" si="22"/>
        <v>3.9000000000000004</v>
      </c>
      <c r="D25" s="2">
        <f t="shared" si="22"/>
        <v>4.3250000000000002</v>
      </c>
      <c r="E25" s="2">
        <f t="shared" si="18"/>
        <v>4.6999999999999993</v>
      </c>
      <c r="F25" s="2">
        <f t="shared" si="22"/>
        <v>4.9000000000000004</v>
      </c>
      <c r="G25" s="2">
        <f t="shared" si="22"/>
        <v>4.9000000000000004</v>
      </c>
      <c r="H25" s="2">
        <f t="shared" si="22"/>
        <v>4.3250000000000002</v>
      </c>
      <c r="I25" s="2">
        <f t="shared" si="22"/>
        <v>4.3250000000000002</v>
      </c>
      <c r="J25" s="2">
        <f t="shared" si="22"/>
        <v>4.3250000000000002</v>
      </c>
      <c r="K25" s="2">
        <f t="shared" ref="K25" si="26">K15*$A$22</f>
        <v>4.25</v>
      </c>
      <c r="L25" s="2">
        <f t="shared" ref="L25:L26" si="27">L15*$A$22</f>
        <v>4.45</v>
      </c>
    </row>
    <row r="26" spans="1:13" x14ac:dyDescent="0.35">
      <c r="A26">
        <v>4</v>
      </c>
      <c r="B26" s="2">
        <f t="shared" ref="B26" si="28">B16*0.5</f>
        <v>10</v>
      </c>
      <c r="C26" s="2">
        <f t="shared" si="22"/>
        <v>3.5999999999999996</v>
      </c>
      <c r="D26" s="2">
        <f t="shared" si="22"/>
        <v>4.0500000000000007</v>
      </c>
      <c r="E26" s="2">
        <f t="shared" si="18"/>
        <v>4.6000000000000005</v>
      </c>
      <c r="F26" s="2">
        <f t="shared" si="22"/>
        <v>4.8499999999999996</v>
      </c>
      <c r="G26" s="2">
        <f t="shared" si="22"/>
        <v>4.5325000000000006</v>
      </c>
      <c r="H26" s="2">
        <f t="shared" si="22"/>
        <v>4.8499999999999996</v>
      </c>
      <c r="I26" s="2">
        <f t="shared" si="22"/>
        <v>4.0500000000000007</v>
      </c>
      <c r="J26" s="2">
        <f t="shared" si="22"/>
        <v>4.0500000000000007</v>
      </c>
      <c r="K26" s="2">
        <f t="shared" ref="K26" si="29">K16*$A$22</f>
        <v>3.9750000000000001</v>
      </c>
      <c r="L26" s="2">
        <f t="shared" si="27"/>
        <v>4.2249999999999996</v>
      </c>
    </row>
    <row r="27" spans="1:13" x14ac:dyDescent="0.35">
      <c r="A27">
        <v>5</v>
      </c>
      <c r="B27" s="2">
        <f t="shared" ref="B27" si="30">B17*0.5</f>
        <v>10</v>
      </c>
      <c r="C27" s="2">
        <f t="shared" si="22"/>
        <v>3.4000000000000004</v>
      </c>
      <c r="D27" s="2">
        <f t="shared" si="22"/>
        <v>3.8250000000000002</v>
      </c>
      <c r="E27" s="2">
        <f t="shared" si="18"/>
        <v>4.5</v>
      </c>
      <c r="F27" s="2">
        <f t="shared" si="22"/>
        <v>4.8</v>
      </c>
      <c r="G27" s="2">
        <f t="shared" si="22"/>
        <v>4.8</v>
      </c>
      <c r="H27" s="2">
        <f t="shared" si="22"/>
        <v>4.4862500000000001</v>
      </c>
      <c r="I27" s="2">
        <f t="shared" si="22"/>
        <v>4.8</v>
      </c>
      <c r="J27" s="2">
        <f t="shared" si="22"/>
        <v>3.8250000000000002</v>
      </c>
      <c r="K27" s="2">
        <f t="shared" ref="K27" si="31">K17*$A$22</f>
        <v>3.7250000000000001</v>
      </c>
      <c r="L27" s="2">
        <f t="shared" ref="L27" si="32">L17*$A$22</f>
        <v>4</v>
      </c>
    </row>
    <row r="28" spans="1:13" x14ac:dyDescent="0.35">
      <c r="A28">
        <v>6</v>
      </c>
      <c r="B28" s="2">
        <f t="shared" ref="B28" si="33">B18*0.5</f>
        <v>10</v>
      </c>
      <c r="C28" s="2">
        <f t="shared" si="22"/>
        <v>3.2250000000000001</v>
      </c>
      <c r="D28" s="2">
        <f t="shared" si="22"/>
        <v>3.6281249999999998</v>
      </c>
      <c r="E28" s="2">
        <f t="shared" si="18"/>
        <v>4.4000000000000004</v>
      </c>
      <c r="F28" s="2">
        <f t="shared" si="22"/>
        <v>4.75</v>
      </c>
      <c r="G28" s="2">
        <f t="shared" si="22"/>
        <v>4.4400000000000004</v>
      </c>
      <c r="H28" s="2">
        <f t="shared" si="22"/>
        <v>4.1952499999999997</v>
      </c>
      <c r="I28" s="2">
        <f t="shared" si="22"/>
        <v>4.4400000000000004</v>
      </c>
      <c r="J28" s="2">
        <f t="shared" si="22"/>
        <v>4.75</v>
      </c>
      <c r="K28" s="2">
        <f t="shared" ref="K28" si="34">K18*$A$22</f>
        <v>3.5</v>
      </c>
      <c r="L28" s="2">
        <f t="shared" ref="L28" si="35">L18*$A$22</f>
        <v>3.8</v>
      </c>
    </row>
    <row r="31" spans="1:13" x14ac:dyDescent="0.35">
      <c r="A31" s="8" t="s">
        <v>3</v>
      </c>
      <c r="C31" s="5"/>
      <c r="D31" s="13">
        <f>Model!M27</f>
        <v>0.18</v>
      </c>
      <c r="E31" s="13">
        <f>Model!M28</f>
        <v>0.4</v>
      </c>
      <c r="F31" s="13">
        <f>Model!M29</f>
        <v>1.3</v>
      </c>
      <c r="G31" s="13">
        <f>Model!M27</f>
        <v>0.18</v>
      </c>
      <c r="H31" s="13">
        <f>Model!M27</f>
        <v>0.18</v>
      </c>
      <c r="I31" s="13">
        <f>Model!M27</f>
        <v>0.18</v>
      </c>
      <c r="J31" s="13">
        <f>Model!M27</f>
        <v>0.18</v>
      </c>
      <c r="K31" s="13">
        <f>Model!M30</f>
        <v>0.20833333333333331</v>
      </c>
      <c r="L31" s="13">
        <f>Model!M31</f>
        <v>0.38833333333333331</v>
      </c>
      <c r="M31" s="8" t="s">
        <v>33</v>
      </c>
    </row>
    <row r="32" spans="1:13" x14ac:dyDescent="0.35">
      <c r="C32" s="8" t="s">
        <v>1</v>
      </c>
      <c r="D32" s="1" t="s">
        <v>0</v>
      </c>
      <c r="E32" s="1" t="s">
        <v>2</v>
      </c>
      <c r="F32" s="10" t="s">
        <v>14</v>
      </c>
      <c r="G32" s="10" t="s">
        <v>15</v>
      </c>
      <c r="H32" s="10" t="s">
        <v>16</v>
      </c>
      <c r="I32" s="10" t="s">
        <v>17</v>
      </c>
      <c r="J32" s="10" t="s">
        <v>18</v>
      </c>
      <c r="K32" s="10" t="s">
        <v>68</v>
      </c>
      <c r="L32" s="24" t="s">
        <v>59</v>
      </c>
    </row>
    <row r="33" spans="1:13" x14ac:dyDescent="0.35">
      <c r="A33">
        <v>1</v>
      </c>
      <c r="D33" s="7">
        <f t="shared" ref="D33:D38" si="36">D23-$C23</f>
        <v>0</v>
      </c>
      <c r="E33" s="7">
        <f t="shared" ref="E33:E38" si="37">E23-$C23</f>
        <v>0</v>
      </c>
      <c r="F33" s="7">
        <f t="shared" ref="F33" si="38">F23-$C23</f>
        <v>0</v>
      </c>
      <c r="G33" s="7">
        <f t="shared" ref="G33:G38" si="39">G23-$C23</f>
        <v>0</v>
      </c>
      <c r="H33" s="7">
        <f t="shared" ref="H33" si="40">H23-$C23</f>
        <v>0</v>
      </c>
      <c r="I33" s="7">
        <f t="shared" ref="I33:J33" si="41">I23-$C23</f>
        <v>0</v>
      </c>
      <c r="J33" s="7">
        <f t="shared" si="41"/>
        <v>0</v>
      </c>
      <c r="K33" s="7">
        <f t="shared" ref="K33" si="42">K23-$C23</f>
        <v>0</v>
      </c>
      <c r="L33" s="7">
        <f t="shared" ref="L33" si="43">L23-$C23</f>
        <v>0</v>
      </c>
    </row>
    <row r="34" spans="1:13" x14ac:dyDescent="0.35">
      <c r="A34">
        <v>2</v>
      </c>
      <c r="D34" s="7">
        <f t="shared" si="36"/>
        <v>0.34999999999999964</v>
      </c>
      <c r="E34" s="7">
        <f t="shared" si="37"/>
        <v>0.52499999999999947</v>
      </c>
      <c r="F34" s="25">
        <f t="shared" ref="F34" si="44">F24-$C24</f>
        <v>0.67499999999999982</v>
      </c>
      <c r="G34" s="7">
        <f t="shared" si="39"/>
        <v>0.34999999999999964</v>
      </c>
      <c r="H34" s="7">
        <f t="shared" ref="H34" si="45">H24-$C24</f>
        <v>0.34999999999999964</v>
      </c>
      <c r="I34" s="7">
        <f t="shared" ref="I34:J34" si="46">I24-$C24</f>
        <v>0.34999999999999964</v>
      </c>
      <c r="J34" s="7">
        <f t="shared" si="46"/>
        <v>0.34999999999999964</v>
      </c>
      <c r="K34" s="7">
        <f t="shared" ref="K34" si="47">K24-$C24</f>
        <v>0.27499999999999947</v>
      </c>
      <c r="L34" s="7">
        <f t="shared" ref="L34" si="48">L24-$C24</f>
        <v>0.42499999999999893</v>
      </c>
    </row>
    <row r="35" spans="1:13" x14ac:dyDescent="0.35">
      <c r="A35">
        <v>3</v>
      </c>
      <c r="D35" s="7">
        <f t="shared" si="36"/>
        <v>0.42499999999999982</v>
      </c>
      <c r="E35" s="7">
        <f t="shared" si="37"/>
        <v>0.79999999999999893</v>
      </c>
      <c r="F35" s="7">
        <f t="shared" ref="F35" si="49">F25-$C25</f>
        <v>1</v>
      </c>
      <c r="G35" s="7">
        <f t="shared" si="39"/>
        <v>1</v>
      </c>
      <c r="H35" s="7">
        <f t="shared" ref="H35" si="50">H25-$C25</f>
        <v>0.42499999999999982</v>
      </c>
      <c r="I35" s="7">
        <f t="shared" ref="I35:J35" si="51">I25-$C25</f>
        <v>0.42499999999999982</v>
      </c>
      <c r="J35" s="7">
        <f t="shared" si="51"/>
        <v>0.42499999999999982</v>
      </c>
      <c r="K35" s="7">
        <f t="shared" ref="K35" si="52">K25-$C25</f>
        <v>0.34999999999999964</v>
      </c>
      <c r="L35" s="7">
        <f t="shared" ref="L35" si="53">L25-$C25</f>
        <v>0.54999999999999982</v>
      </c>
    </row>
    <row r="36" spans="1:13" x14ac:dyDescent="0.35">
      <c r="A36">
        <v>4</v>
      </c>
      <c r="D36" s="7">
        <f t="shared" si="36"/>
        <v>0.45000000000000107</v>
      </c>
      <c r="E36" s="7">
        <f t="shared" si="37"/>
        <v>1.0000000000000009</v>
      </c>
      <c r="F36" s="7">
        <f t="shared" ref="F36" si="54">F26-$C26</f>
        <v>1.25</v>
      </c>
      <c r="G36" s="7">
        <f t="shared" si="39"/>
        <v>0.93250000000000099</v>
      </c>
      <c r="H36" s="7">
        <f t="shared" ref="H36" si="55">H26-$C26</f>
        <v>1.25</v>
      </c>
      <c r="I36" s="7">
        <f t="shared" ref="I36:J36" si="56">I26-$C26</f>
        <v>0.45000000000000107</v>
      </c>
      <c r="J36" s="7">
        <f t="shared" si="56"/>
        <v>0.45000000000000107</v>
      </c>
      <c r="K36" s="7">
        <f t="shared" ref="K36" si="57">K26-$C26</f>
        <v>0.37500000000000044</v>
      </c>
      <c r="L36" s="7">
        <f t="shared" ref="L36" si="58">L26-$C26</f>
        <v>0.625</v>
      </c>
    </row>
    <row r="37" spans="1:13" x14ac:dyDescent="0.35">
      <c r="A37">
        <v>5</v>
      </c>
      <c r="D37" s="7">
        <f t="shared" si="36"/>
        <v>0.42499999999999982</v>
      </c>
      <c r="E37" s="7">
        <f t="shared" si="37"/>
        <v>1.0999999999999996</v>
      </c>
      <c r="F37" s="7">
        <f t="shared" ref="F37" si="59">F27-$C27</f>
        <v>1.3999999999999995</v>
      </c>
      <c r="G37" s="7">
        <f t="shared" si="39"/>
        <v>1.3999999999999995</v>
      </c>
      <c r="H37" s="7">
        <f t="shared" ref="H37" si="60">H27-$C27</f>
        <v>1.0862499999999997</v>
      </c>
      <c r="I37" s="7">
        <f t="shared" ref="I37:J37" si="61">I27-$C27</f>
        <v>1.3999999999999995</v>
      </c>
      <c r="J37" s="7">
        <f t="shared" si="61"/>
        <v>0.42499999999999982</v>
      </c>
      <c r="K37" s="7">
        <f t="shared" ref="K37" si="62">K27-$C27</f>
        <v>0.32499999999999973</v>
      </c>
      <c r="L37" s="7">
        <f t="shared" ref="L37" si="63">L27-$C27</f>
        <v>0.59999999999999964</v>
      </c>
    </row>
    <row r="38" spans="1:13" x14ac:dyDescent="0.35">
      <c r="A38">
        <v>6</v>
      </c>
      <c r="D38" s="7">
        <f t="shared" si="36"/>
        <v>0.40312499999999973</v>
      </c>
      <c r="E38" s="7">
        <f t="shared" si="37"/>
        <v>1.1750000000000003</v>
      </c>
      <c r="F38" s="7">
        <f t="shared" ref="F38" si="64">F28-$C28</f>
        <v>1.5249999999999999</v>
      </c>
      <c r="G38" s="7">
        <f t="shared" si="39"/>
        <v>1.2150000000000003</v>
      </c>
      <c r="H38" s="7">
        <f t="shared" ref="H38" si="65">H28-$C28</f>
        <v>0.97024999999999961</v>
      </c>
      <c r="I38" s="7">
        <f t="shared" ref="I38:J38" si="66">I28-$C28</f>
        <v>1.2150000000000003</v>
      </c>
      <c r="J38" s="7">
        <f t="shared" si="66"/>
        <v>1.5249999999999999</v>
      </c>
      <c r="K38" s="7">
        <f t="shared" ref="K38" si="67">K28-$C28</f>
        <v>0.27499999999999991</v>
      </c>
      <c r="L38" s="7">
        <f t="shared" ref="L38" si="68">L28-$C28</f>
        <v>0.57499999999999973</v>
      </c>
    </row>
    <row r="41" spans="1:13" x14ac:dyDescent="0.35">
      <c r="A41" s="8" t="s">
        <v>4</v>
      </c>
      <c r="C41" s="5"/>
      <c r="D41" s="5"/>
      <c r="E41" s="5"/>
      <c r="F41" s="5"/>
      <c r="G41" s="5"/>
      <c r="H41" s="5"/>
      <c r="I41" s="5"/>
      <c r="J41" s="5"/>
      <c r="K41" s="5"/>
    </row>
    <row r="42" spans="1:13" x14ac:dyDescent="0.35">
      <c r="C42" s="8" t="s">
        <v>1</v>
      </c>
      <c r="D42" s="1" t="s">
        <v>0</v>
      </c>
      <c r="E42" s="1" t="s">
        <v>2</v>
      </c>
      <c r="F42" s="10" t="s">
        <v>14</v>
      </c>
      <c r="G42" s="10" t="s">
        <v>15</v>
      </c>
      <c r="H42" s="10" t="s">
        <v>16</v>
      </c>
      <c r="I42" s="10" t="s">
        <v>17</v>
      </c>
      <c r="J42" s="10" t="s">
        <v>18</v>
      </c>
      <c r="K42" s="10" t="s">
        <v>68</v>
      </c>
      <c r="L42" s="24" t="s">
        <v>59</v>
      </c>
    </row>
    <row r="43" spans="1:13" x14ac:dyDescent="0.35">
      <c r="A43">
        <v>1</v>
      </c>
      <c r="C43" s="8"/>
      <c r="D43" s="9">
        <v>0</v>
      </c>
      <c r="E43" s="9">
        <v>0</v>
      </c>
      <c r="F43" s="9">
        <v>0</v>
      </c>
      <c r="G43" s="1" t="s">
        <v>12</v>
      </c>
      <c r="H43" s="1" t="s">
        <v>9</v>
      </c>
      <c r="I43" s="1" t="s">
        <v>10</v>
      </c>
      <c r="J43" s="1" t="s">
        <v>11</v>
      </c>
      <c r="K43" s="9">
        <v>0</v>
      </c>
      <c r="L43" s="9">
        <v>0</v>
      </c>
    </row>
    <row r="44" spans="1:13" x14ac:dyDescent="0.35">
      <c r="A44">
        <v>2</v>
      </c>
      <c r="D44" s="5">
        <f t="shared" ref="D44:I44" si="69">D34-D$31</f>
        <v>0.16999999999999965</v>
      </c>
      <c r="E44" s="5">
        <f>E34-E$31</f>
        <v>0.12499999999999944</v>
      </c>
      <c r="F44" s="5">
        <f>F34-F$31</f>
        <v>-0.62500000000000022</v>
      </c>
      <c r="G44" s="5">
        <f t="shared" si="69"/>
        <v>0.16999999999999965</v>
      </c>
      <c r="H44" s="5">
        <f t="shared" si="69"/>
        <v>0.16999999999999965</v>
      </c>
      <c r="I44" s="5">
        <f t="shared" si="69"/>
        <v>0.16999999999999965</v>
      </c>
      <c r="J44" s="5">
        <f t="shared" ref="J44:L44" si="70">J34-J$31</f>
        <v>0.16999999999999965</v>
      </c>
      <c r="K44" s="5">
        <f t="shared" ref="K44" si="71">K34-K$31</f>
        <v>6.6666666666666152E-2</v>
      </c>
      <c r="L44" s="5">
        <f t="shared" si="70"/>
        <v>3.6666666666665626E-2</v>
      </c>
      <c r="M44" s="6"/>
    </row>
    <row r="45" spans="1:13" x14ac:dyDescent="0.35">
      <c r="A45">
        <v>3</v>
      </c>
      <c r="D45" s="5">
        <f t="shared" ref="D45:F45" si="72">D35-D$31</f>
        <v>0.24499999999999983</v>
      </c>
      <c r="E45" s="5">
        <f>E35-E$31</f>
        <v>0.39999999999999891</v>
      </c>
      <c r="F45" s="5">
        <f t="shared" si="72"/>
        <v>-0.30000000000000004</v>
      </c>
      <c r="G45" s="5">
        <f>G35-Model!$M$29</f>
        <v>-0.30000000000000004</v>
      </c>
      <c r="H45" s="5">
        <f t="shared" ref="H45:I45" si="73">H35-H$31</f>
        <v>0.24499999999999983</v>
      </c>
      <c r="I45" s="5">
        <f t="shared" si="73"/>
        <v>0.24499999999999983</v>
      </c>
      <c r="J45" s="5">
        <f t="shared" ref="J45:L45" si="74">J35-J$31</f>
        <v>0.24499999999999983</v>
      </c>
      <c r="K45" s="5">
        <f t="shared" ref="K45" si="75">K35-K$31</f>
        <v>0.14166666666666633</v>
      </c>
      <c r="L45" s="5">
        <f t="shared" si="74"/>
        <v>0.16166666666666651</v>
      </c>
      <c r="M45" s="6"/>
    </row>
    <row r="46" spans="1:13" x14ac:dyDescent="0.35">
      <c r="A46">
        <v>4</v>
      </c>
      <c r="D46" s="5">
        <f t="shared" ref="D46:F46" si="76">D36-D$31</f>
        <v>0.27000000000000107</v>
      </c>
      <c r="E46" s="5">
        <f>E36-E$31</f>
        <v>0.60000000000000087</v>
      </c>
      <c r="F46" s="5">
        <f t="shared" si="76"/>
        <v>-5.0000000000000044E-2</v>
      </c>
      <c r="G46" s="5">
        <f>G36-G$31</f>
        <v>0.75250000000000106</v>
      </c>
      <c r="H46" s="5">
        <f>H36-Model!$M$29</f>
        <v>-5.0000000000000044E-2</v>
      </c>
      <c r="I46" s="5">
        <f>I36-I$31</f>
        <v>0.27000000000000107</v>
      </c>
      <c r="J46" s="5">
        <f t="shared" ref="J46:L46" si="77">J36-J$31</f>
        <v>0.27000000000000107</v>
      </c>
      <c r="K46" s="5">
        <f t="shared" ref="K46" si="78">K36-K$31</f>
        <v>0.16666666666666713</v>
      </c>
      <c r="L46" s="5">
        <f t="shared" si="77"/>
        <v>0.23666666666666669</v>
      </c>
      <c r="M46" s="6"/>
    </row>
    <row r="47" spans="1:13" x14ac:dyDescent="0.35">
      <c r="A47">
        <v>5</v>
      </c>
      <c r="D47" s="5">
        <f t="shared" ref="D47:F47" si="79">D37-D$31</f>
        <v>0.24499999999999983</v>
      </c>
      <c r="E47" s="5">
        <f>E37-E$31</f>
        <v>0.69999999999999962</v>
      </c>
      <c r="F47" s="5">
        <f t="shared" si="79"/>
        <v>9.9999999999999423E-2</v>
      </c>
      <c r="G47" s="5">
        <f>G37-Model!$M$29</f>
        <v>9.9999999999999423E-2</v>
      </c>
      <c r="H47" s="5">
        <f t="shared" ref="H47" si="80">H37-H$31</f>
        <v>0.90624999999999978</v>
      </c>
      <c r="I47" s="5">
        <f>I37-Model!$M$29</f>
        <v>9.9999999999999423E-2</v>
      </c>
      <c r="J47" s="5">
        <f t="shared" ref="J47:L47" si="81">J37-J$31</f>
        <v>0.24499999999999983</v>
      </c>
      <c r="K47" s="5">
        <f t="shared" ref="K47" si="82">K37-K$31</f>
        <v>0.11666666666666642</v>
      </c>
      <c r="L47" s="5">
        <f t="shared" si="81"/>
        <v>0.21166666666666634</v>
      </c>
      <c r="M47" s="6"/>
    </row>
    <row r="48" spans="1:13" x14ac:dyDescent="0.35">
      <c r="A48">
        <v>6</v>
      </c>
      <c r="D48" s="5">
        <f t="shared" ref="D48:F48" si="83">D38-D$31</f>
        <v>0.22312499999999974</v>
      </c>
      <c r="E48" s="5">
        <f>E38-E$31</f>
        <v>0.77500000000000024</v>
      </c>
      <c r="F48" s="5">
        <f t="shared" si="83"/>
        <v>0.22499999999999987</v>
      </c>
      <c r="G48" s="5">
        <f>G38-G$31</f>
        <v>1.0350000000000004</v>
      </c>
      <c r="H48" s="5">
        <f t="shared" ref="H48:I48" si="84">H38-H$31</f>
        <v>0.79024999999999967</v>
      </c>
      <c r="I48" s="5">
        <f t="shared" si="84"/>
        <v>1.0350000000000004</v>
      </c>
      <c r="J48" s="5">
        <f>J38-Model!$M$29</f>
        <v>0.22499999999999987</v>
      </c>
      <c r="K48" s="5">
        <f t="shared" ref="K48:L48" si="85">K38-K$31</f>
        <v>6.6666666666666596E-2</v>
      </c>
      <c r="L48" s="5">
        <f t="shared" si="85"/>
        <v>0.18666666666666643</v>
      </c>
      <c r="M48" s="6"/>
    </row>
    <row r="50" spans="1:12" x14ac:dyDescent="0.35">
      <c r="A50" s="8" t="s">
        <v>8</v>
      </c>
      <c r="D50" s="6">
        <f>SUM(D43:D48)</f>
        <v>1.1531250000000002</v>
      </c>
      <c r="E50" s="6">
        <f>SUM(E43:E48)</f>
        <v>2.5999999999999992</v>
      </c>
      <c r="F50" s="6">
        <f t="shared" ref="F50:H50" si="86">SUM(F43:F48)</f>
        <v>-0.65000000000000102</v>
      </c>
      <c r="G50" s="6">
        <f>SUM(G43:G48)</f>
        <v>1.7575000000000005</v>
      </c>
      <c r="H50" s="6">
        <f t="shared" si="86"/>
        <v>2.0614999999999988</v>
      </c>
      <c r="I50" s="6">
        <f t="shared" ref="I50:J50" si="87">SUM(I43:I48)</f>
        <v>1.8200000000000003</v>
      </c>
      <c r="J50" s="6">
        <f t="shared" si="87"/>
        <v>1.1550000000000002</v>
      </c>
      <c r="K50" s="6">
        <f t="shared" ref="K50" si="88">SUM(K43:K48)</f>
        <v>0.55833333333333268</v>
      </c>
      <c r="L50" s="6">
        <f t="shared" ref="L50" si="89">SUM(L43:L48)</f>
        <v>0.83333333333333159</v>
      </c>
    </row>
    <row r="51" spans="1:12" x14ac:dyDescent="0.35">
      <c r="A51" s="8" t="s">
        <v>7</v>
      </c>
      <c r="D51" s="6">
        <f>D50/5</f>
        <v>0.23062500000000002</v>
      </c>
      <c r="E51" s="6">
        <f>E50/5</f>
        <v>0.5199999999999998</v>
      </c>
      <c r="F51" s="6">
        <f t="shared" ref="F51:H51" si="90">F50/5</f>
        <v>-0.1300000000000002</v>
      </c>
      <c r="G51" s="6">
        <f t="shared" ref="G51" si="91">G50/5</f>
        <v>0.35150000000000009</v>
      </c>
      <c r="H51" s="6">
        <f t="shared" si="90"/>
        <v>0.41229999999999978</v>
      </c>
      <c r="I51" s="6">
        <f t="shared" ref="I51" si="92">I50/5</f>
        <v>0.36400000000000005</v>
      </c>
      <c r="J51" s="6">
        <f t="shared" ref="J51:L51" si="93">J50/5</f>
        <v>0.23100000000000004</v>
      </c>
      <c r="K51" s="6">
        <f t="shared" ref="K51" si="94">K50/5</f>
        <v>0.11166666666666654</v>
      </c>
      <c r="L51" s="6">
        <f t="shared" si="93"/>
        <v>0.16666666666666632</v>
      </c>
    </row>
    <row r="52" spans="1:12" x14ac:dyDescent="0.35">
      <c r="A52" s="8"/>
      <c r="D52" s="6"/>
      <c r="E52" s="6"/>
      <c r="F52" s="6"/>
      <c r="G52" s="6"/>
      <c r="H52" s="6"/>
      <c r="I52" s="6"/>
      <c r="J52" s="6"/>
      <c r="K52" s="6"/>
    </row>
    <row r="54" spans="1:12" x14ac:dyDescent="0.35">
      <c r="E54" s="1" t="s">
        <v>31</v>
      </c>
      <c r="F54" s="1" t="s">
        <v>30</v>
      </c>
    </row>
    <row r="55" spans="1:12" x14ac:dyDescent="0.35">
      <c r="D55" s="1" t="s">
        <v>20</v>
      </c>
      <c r="E55" s="8" t="s">
        <v>19</v>
      </c>
      <c r="F55" s="8" t="s">
        <v>19</v>
      </c>
      <c r="H55" s="1" t="s">
        <v>29</v>
      </c>
      <c r="I55" s="1" t="s">
        <v>28</v>
      </c>
    </row>
    <row r="56" spans="1:12" x14ac:dyDescent="0.35">
      <c r="D56" s="1" t="s">
        <v>13</v>
      </c>
      <c r="E56" s="6">
        <f>D51</f>
        <v>0.23062500000000002</v>
      </c>
      <c r="F56" s="6">
        <f>E56*5</f>
        <v>1.1531250000000002</v>
      </c>
      <c r="H56" s="6">
        <f>E56</f>
        <v>0.23062500000000002</v>
      </c>
      <c r="I56" s="6">
        <f>$E$57-H56</f>
        <v>0.28937499999999977</v>
      </c>
    </row>
    <row r="57" spans="1:12" x14ac:dyDescent="0.35">
      <c r="D57" s="1" t="s">
        <v>2</v>
      </c>
      <c r="E57" s="6">
        <f>E51</f>
        <v>0.5199999999999998</v>
      </c>
      <c r="F57" s="6">
        <f t="shared" ref="F57:F62" si="95">E57*5</f>
        <v>2.5999999999999988</v>
      </c>
    </row>
    <row r="58" spans="1:12" x14ac:dyDescent="0.35">
      <c r="D58" s="1" t="s">
        <v>54</v>
      </c>
      <c r="E58" s="6">
        <f>F51</f>
        <v>-0.1300000000000002</v>
      </c>
      <c r="F58" s="6">
        <f t="shared" si="95"/>
        <v>-0.65000000000000102</v>
      </c>
      <c r="H58" s="6">
        <f>E58</f>
        <v>-0.1300000000000002</v>
      </c>
      <c r="I58" s="6">
        <f>$E$57-H58</f>
        <v>0.65</v>
      </c>
    </row>
    <row r="59" spans="1:12" x14ac:dyDescent="0.35">
      <c r="D59" s="1" t="s">
        <v>55</v>
      </c>
      <c r="E59" s="6">
        <f>G51</f>
        <v>0.35150000000000009</v>
      </c>
      <c r="F59" s="6">
        <f t="shared" si="95"/>
        <v>1.7575000000000005</v>
      </c>
      <c r="H59" s="6">
        <f>E59</f>
        <v>0.35150000000000009</v>
      </c>
      <c r="I59" s="6">
        <f>$E$57-H59</f>
        <v>0.16849999999999971</v>
      </c>
    </row>
    <row r="60" spans="1:12" x14ac:dyDescent="0.35">
      <c r="D60" s="1" t="s">
        <v>56</v>
      </c>
      <c r="E60" s="6">
        <f>H51</f>
        <v>0.41229999999999978</v>
      </c>
      <c r="F60" s="6">
        <f t="shared" si="95"/>
        <v>2.0614999999999988</v>
      </c>
      <c r="H60" s="6">
        <f>E60</f>
        <v>0.41229999999999978</v>
      </c>
      <c r="I60" s="6">
        <f>$E$57-H60</f>
        <v>0.10770000000000002</v>
      </c>
    </row>
    <row r="61" spans="1:12" x14ac:dyDescent="0.35">
      <c r="D61" s="1" t="s">
        <v>57</v>
      </c>
      <c r="E61" s="6">
        <f>I51</f>
        <v>0.36400000000000005</v>
      </c>
      <c r="F61" s="6">
        <f t="shared" si="95"/>
        <v>1.8200000000000003</v>
      </c>
      <c r="H61" s="6">
        <f>E61</f>
        <v>0.36400000000000005</v>
      </c>
      <c r="I61" s="6">
        <f>$E$57-H61</f>
        <v>0.15599999999999975</v>
      </c>
    </row>
    <row r="62" spans="1:12" x14ac:dyDescent="0.35">
      <c r="D62" s="1" t="s">
        <v>58</v>
      </c>
      <c r="E62" s="6">
        <f>J51</f>
        <v>0.23100000000000004</v>
      </c>
      <c r="F62" s="6">
        <f t="shared" si="95"/>
        <v>1.1550000000000002</v>
      </c>
      <c r="H62" s="6">
        <f>E62</f>
        <v>0.23100000000000004</v>
      </c>
      <c r="I62" s="6">
        <f>$E$57-H62</f>
        <v>0.28899999999999976</v>
      </c>
    </row>
    <row r="63" spans="1:12" x14ac:dyDescent="0.35">
      <c r="D63" s="10" t="s">
        <v>69</v>
      </c>
      <c r="E63" s="6">
        <f>K51</f>
        <v>0.11166666666666654</v>
      </c>
      <c r="F63" s="6">
        <f>K50</f>
        <v>0.55833333333333268</v>
      </c>
      <c r="H63" s="6">
        <f t="shared" ref="H63:H64" si="96">E63</f>
        <v>0.11166666666666654</v>
      </c>
      <c r="I63" s="6">
        <f t="shared" ref="I63:I64" si="97">$E$57-H63</f>
        <v>0.40833333333333327</v>
      </c>
    </row>
    <row r="64" spans="1:12" x14ac:dyDescent="0.35">
      <c r="D64" s="10" t="s">
        <v>70</v>
      </c>
      <c r="E64" s="6">
        <f>L51</f>
        <v>0.16666666666666632</v>
      </c>
      <c r="F64" s="6">
        <f>E64*5</f>
        <v>0.83333333333333159</v>
      </c>
      <c r="H64" s="6">
        <f t="shared" si="96"/>
        <v>0.16666666666666632</v>
      </c>
      <c r="I64" s="6">
        <f t="shared" si="97"/>
        <v>0.3533333333333335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34"/>
  <sheetViews>
    <sheetView tabSelected="1" zoomScale="88" zoomScaleNormal="88" workbookViewId="0">
      <selection activeCell="B2" sqref="B2"/>
    </sheetView>
  </sheetViews>
  <sheetFormatPr defaultRowHeight="14.5" x14ac:dyDescent="0.35"/>
  <cols>
    <col min="1" max="1" width="2.08984375" customWidth="1"/>
    <col min="2" max="2" width="3.81640625" customWidth="1"/>
    <col min="4" max="4" width="10.81640625" customWidth="1"/>
    <col min="5" max="5" width="11.90625" customWidth="1"/>
    <col min="7" max="7" width="11.1796875" customWidth="1"/>
    <col min="8" max="8" width="11" customWidth="1"/>
    <col min="10" max="10" width="7.1796875" customWidth="1"/>
    <col min="11" max="11" width="11.1796875" customWidth="1"/>
    <col min="12" max="12" width="11.36328125" customWidth="1"/>
    <col min="13" max="13" width="10.81640625" customWidth="1"/>
    <col min="14" max="14" width="3.1796875" customWidth="1"/>
    <col min="16" max="16" width="10.1796875" customWidth="1"/>
    <col min="17" max="17" width="12.08984375" customWidth="1"/>
    <col min="18" max="18" width="10" customWidth="1"/>
    <col min="19" max="19" width="11.08984375" customWidth="1"/>
    <col min="20" max="20" width="14.453125" customWidth="1"/>
    <col min="21" max="21" width="2.36328125" customWidth="1"/>
    <col min="22" max="22" width="2.54296875" customWidth="1"/>
    <col min="23" max="23" width="23.6328125" customWidth="1"/>
  </cols>
  <sheetData>
    <row r="1" spans="2:24" ht="26" x14ac:dyDescent="0.6">
      <c r="B1" s="61" t="s">
        <v>89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3" spans="2:24" ht="18.5" x14ac:dyDescent="0.45">
      <c r="W3" s="69" t="s">
        <v>88</v>
      </c>
      <c r="X3" s="70"/>
    </row>
    <row r="5" spans="2:24" ht="15" thickBot="1" x14ac:dyDescent="0.4">
      <c r="W5" s="60" t="s">
        <v>84</v>
      </c>
      <c r="X5" s="11"/>
    </row>
    <row r="6" spans="2:24" ht="15.5" thickTop="1" thickBot="1" x14ac:dyDescent="0.4">
      <c r="W6" t="s">
        <v>60</v>
      </c>
      <c r="X6" s="57">
        <v>10</v>
      </c>
    </row>
    <row r="7" spans="2:24" ht="15.5" thickTop="1" thickBot="1" x14ac:dyDescent="0.4">
      <c r="W7" t="s">
        <v>80</v>
      </c>
      <c r="X7" s="58">
        <v>60</v>
      </c>
    </row>
    <row r="8" spans="2:24" ht="15.5" thickTop="1" thickBot="1" x14ac:dyDescent="0.4">
      <c r="W8" t="s">
        <v>81</v>
      </c>
      <c r="X8" s="56">
        <f>X7/60</f>
        <v>1</v>
      </c>
    </row>
    <row r="9" spans="2:24" ht="15.5" thickTop="1" thickBot="1" x14ac:dyDescent="0.4">
      <c r="W9" t="s">
        <v>82</v>
      </c>
      <c r="X9" s="59">
        <f>X6/X7</f>
        <v>0.16666666666666666</v>
      </c>
    </row>
    <row r="10" spans="2:24" ht="15" thickTop="1" x14ac:dyDescent="0.35"/>
    <row r="11" spans="2:24" ht="15" thickBot="1" x14ac:dyDescent="0.4">
      <c r="W11" s="60" t="s">
        <v>85</v>
      </c>
      <c r="X11" s="11"/>
    </row>
    <row r="12" spans="2:24" ht="15.5" thickTop="1" thickBot="1" x14ac:dyDescent="0.4">
      <c r="W12" t="s">
        <v>60</v>
      </c>
      <c r="X12" s="57">
        <v>10</v>
      </c>
    </row>
    <row r="13" spans="2:24" ht="15.5" thickTop="1" thickBot="1" x14ac:dyDescent="0.4">
      <c r="W13" t="s">
        <v>78</v>
      </c>
      <c r="X13" s="58">
        <v>30</v>
      </c>
    </row>
    <row r="14" spans="2:24" ht="15.5" thickTop="1" thickBot="1" x14ac:dyDescent="0.4">
      <c r="W14" t="s">
        <v>79</v>
      </c>
      <c r="X14" s="56">
        <f>X13/60</f>
        <v>0.5</v>
      </c>
    </row>
    <row r="15" spans="2:24" ht="15.5" thickTop="1" thickBot="1" x14ac:dyDescent="0.4">
      <c r="W15" t="s">
        <v>83</v>
      </c>
      <c r="X15" s="59">
        <f>X12/X13</f>
        <v>0.33333333333333331</v>
      </c>
    </row>
    <row r="16" spans="2:24" ht="15" thickTop="1" x14ac:dyDescent="0.35"/>
    <row r="17" spans="11:24" ht="15" thickBot="1" x14ac:dyDescent="0.4">
      <c r="W17" s="60" t="s">
        <v>86</v>
      </c>
      <c r="X17" s="11"/>
    </row>
    <row r="18" spans="11:24" ht="15.5" thickTop="1" thickBot="1" x14ac:dyDescent="0.4">
      <c r="W18" t="s">
        <v>60</v>
      </c>
      <c r="X18" s="57">
        <v>10</v>
      </c>
    </row>
    <row r="19" spans="11:24" ht="15.5" thickTop="1" thickBot="1" x14ac:dyDescent="0.4">
      <c r="W19" t="s">
        <v>62</v>
      </c>
      <c r="X19" s="58">
        <v>75</v>
      </c>
    </row>
    <row r="20" spans="11:24" ht="15.5" thickTop="1" thickBot="1" x14ac:dyDescent="0.4">
      <c r="W20" t="s">
        <v>63</v>
      </c>
      <c r="X20" s="56">
        <f>X19/60</f>
        <v>1.25</v>
      </c>
    </row>
    <row r="21" spans="11:24" ht="15.5" thickTop="1" thickBot="1" x14ac:dyDescent="0.4">
      <c r="W21" t="s">
        <v>61</v>
      </c>
      <c r="X21" s="59">
        <f>X18/X19</f>
        <v>0.13333333333333333</v>
      </c>
    </row>
    <row r="22" spans="11:24" ht="11.4" hidden="1" customHeight="1" thickTop="1" thickBot="1" x14ac:dyDescent="0.4"/>
    <row r="23" spans="11:24" ht="8.4" hidden="1" customHeight="1" thickBot="1" x14ac:dyDescent="0.4"/>
    <row r="24" spans="11:24" ht="22" thickTop="1" thickBot="1" x14ac:dyDescent="0.55000000000000004">
      <c r="K24" s="66" t="s">
        <v>26</v>
      </c>
      <c r="L24" s="67"/>
      <c r="M24" s="68"/>
      <c r="N24" s="46"/>
      <c r="O24" s="46"/>
      <c r="P24" s="47" t="s">
        <v>72</v>
      </c>
      <c r="Q24" s="46"/>
      <c r="R24" s="46"/>
      <c r="S24" s="63" t="s">
        <v>64</v>
      </c>
      <c r="T24" s="64"/>
      <c r="U24" s="65"/>
    </row>
    <row r="25" spans="11:24" ht="9" customHeight="1" x14ac:dyDescent="0.35">
      <c r="K25" s="28"/>
      <c r="L25" s="19"/>
      <c r="M25" s="21"/>
      <c r="N25" s="21"/>
      <c r="O25" s="20"/>
      <c r="P25" s="20"/>
      <c r="Q25" s="20"/>
      <c r="R25" s="20"/>
      <c r="S25" s="20"/>
      <c r="T25" s="20"/>
      <c r="U25" s="29"/>
    </row>
    <row r="26" spans="11:24" ht="15" thickBot="1" x14ac:dyDescent="0.4">
      <c r="K26" s="30" t="s">
        <v>65</v>
      </c>
      <c r="L26" s="19"/>
      <c r="M26" s="27" t="s">
        <v>71</v>
      </c>
      <c r="N26" s="21"/>
      <c r="O26" s="21" t="s">
        <v>23</v>
      </c>
      <c r="P26" s="21" t="s">
        <v>24</v>
      </c>
      <c r="Q26" s="21" t="s">
        <v>25</v>
      </c>
      <c r="R26" s="21" t="s">
        <v>73</v>
      </c>
      <c r="S26" s="21" t="s">
        <v>22</v>
      </c>
      <c r="T26" s="21" t="s">
        <v>87</v>
      </c>
      <c r="U26" s="29"/>
    </row>
    <row r="27" spans="11:24" ht="15.5" thickTop="1" thickBot="1" x14ac:dyDescent="0.4">
      <c r="K27" s="31" t="s">
        <v>50</v>
      </c>
      <c r="L27" s="20"/>
      <c r="M27" s="41">
        <f>SUM(O27:T27)</f>
        <v>0.18</v>
      </c>
      <c r="N27" s="48" t="s">
        <v>53</v>
      </c>
      <c r="O27" s="20"/>
      <c r="P27" s="20"/>
      <c r="Q27" s="55">
        <v>0.18</v>
      </c>
      <c r="R27" s="20"/>
      <c r="S27" s="20"/>
      <c r="T27" s="20"/>
      <c r="U27" s="32"/>
    </row>
    <row r="28" spans="11:24" ht="15.5" thickTop="1" thickBot="1" x14ac:dyDescent="0.4">
      <c r="K28" s="33" t="s">
        <v>51</v>
      </c>
      <c r="L28" s="20"/>
      <c r="M28" s="42">
        <f>SUM(O28:T28)</f>
        <v>0.4</v>
      </c>
      <c r="N28" s="48" t="s">
        <v>53</v>
      </c>
      <c r="O28" s="20"/>
      <c r="P28" s="20"/>
      <c r="Q28" s="49">
        <v>0.4</v>
      </c>
      <c r="R28" s="20"/>
      <c r="S28" s="20"/>
      <c r="T28" s="20"/>
      <c r="U28" s="32"/>
    </row>
    <row r="29" spans="11:24" ht="15.5" thickTop="1" thickBot="1" x14ac:dyDescent="0.4">
      <c r="K29" s="34" t="s">
        <v>52</v>
      </c>
      <c r="L29" s="20"/>
      <c r="M29" s="43">
        <f>SUM(O29:T29)</f>
        <v>1.3</v>
      </c>
      <c r="N29" s="48" t="s">
        <v>53</v>
      </c>
      <c r="O29" s="50">
        <v>0.3</v>
      </c>
      <c r="P29" s="50">
        <v>0.32</v>
      </c>
      <c r="Q29" s="50">
        <v>0.18</v>
      </c>
      <c r="R29" s="20"/>
      <c r="S29" s="50">
        <v>0.17</v>
      </c>
      <c r="T29" s="50">
        <v>0.33</v>
      </c>
      <c r="U29" s="32"/>
    </row>
    <row r="30" spans="11:24" ht="15.5" thickTop="1" thickBot="1" x14ac:dyDescent="0.4">
      <c r="K30" s="35" t="s">
        <v>67</v>
      </c>
      <c r="L30" s="20"/>
      <c r="M30" s="44">
        <f>SUM(O30:T30)</f>
        <v>0.20833333333333331</v>
      </c>
      <c r="N30" s="48" t="s">
        <v>53</v>
      </c>
      <c r="O30" s="20"/>
      <c r="P30" s="21"/>
      <c r="Q30" s="20"/>
      <c r="R30" s="52">
        <v>7.4999999999999997E-2</v>
      </c>
      <c r="S30" s="20"/>
      <c r="T30" s="52">
        <f>X21</f>
        <v>0.13333333333333333</v>
      </c>
      <c r="U30" s="32"/>
    </row>
    <row r="31" spans="11:24" ht="15.5" thickTop="1" thickBot="1" x14ac:dyDescent="0.4">
      <c r="K31" s="36" t="s">
        <v>66</v>
      </c>
      <c r="L31" s="20"/>
      <c r="M31" s="45">
        <f>SUM(O31:T31)</f>
        <v>0.38833333333333331</v>
      </c>
      <c r="N31" s="48" t="s">
        <v>53</v>
      </c>
      <c r="O31" s="20"/>
      <c r="P31" s="20"/>
      <c r="Q31" s="51">
        <f>M27</f>
        <v>0.18</v>
      </c>
      <c r="R31" s="51">
        <v>7.4999999999999997E-2</v>
      </c>
      <c r="S31" s="20"/>
      <c r="T31" s="51">
        <f>X21</f>
        <v>0.13333333333333333</v>
      </c>
      <c r="U31" s="32"/>
    </row>
    <row r="32" spans="11:24" ht="15.5" thickTop="1" thickBot="1" x14ac:dyDescent="0.4">
      <c r="K32" s="30"/>
      <c r="L32" s="20"/>
      <c r="M32" s="20"/>
      <c r="N32" s="20"/>
      <c r="O32" s="20"/>
      <c r="P32" s="20"/>
      <c r="Q32" s="20"/>
      <c r="R32" s="20"/>
      <c r="S32" s="20"/>
      <c r="T32" s="20"/>
      <c r="U32" s="29"/>
    </row>
    <row r="33" spans="11:21" ht="15.5" thickTop="1" thickBot="1" x14ac:dyDescent="0.4">
      <c r="K33" s="37" t="s">
        <v>76</v>
      </c>
      <c r="L33" s="20"/>
      <c r="M33" s="53">
        <v>20</v>
      </c>
      <c r="N33" s="26" t="s">
        <v>75</v>
      </c>
      <c r="O33" s="20"/>
      <c r="P33" s="20"/>
      <c r="Q33" s="20"/>
      <c r="R33" s="20"/>
      <c r="S33" s="20"/>
      <c r="T33" s="20"/>
      <c r="U33" s="29"/>
    </row>
    <row r="34" spans="11:21" ht="14.4" customHeight="1" thickTop="1" thickBot="1" x14ac:dyDescent="0.4">
      <c r="K34" s="38" t="s">
        <v>77</v>
      </c>
      <c r="L34" s="39"/>
      <c r="M34" s="54">
        <v>0.25</v>
      </c>
      <c r="N34" s="39" t="s">
        <v>74</v>
      </c>
      <c r="O34" s="39"/>
      <c r="P34" s="39"/>
      <c r="Q34" s="39"/>
      <c r="R34" s="39"/>
      <c r="S34" s="39"/>
      <c r="T34" s="39"/>
      <c r="U34" s="40"/>
    </row>
  </sheetData>
  <mergeCells count="4">
    <mergeCell ref="B1:U1"/>
    <mergeCell ref="S24:U24"/>
    <mergeCell ref="K24:M24"/>
    <mergeCell ref="W3:X3"/>
  </mergeCells>
  <pageMargins left="0.25" right="0.25" top="0.75" bottom="0.75" header="0.3" footer="0.3"/>
  <pageSetup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workbookViewId="0">
      <selection activeCell="A25" sqref="A25"/>
    </sheetView>
  </sheetViews>
  <sheetFormatPr defaultRowHeight="14.5" x14ac:dyDescent="0.35"/>
  <cols>
    <col min="1" max="1" width="13.81640625" customWidth="1"/>
    <col min="2" max="2" width="8.90625" customWidth="1"/>
  </cols>
  <sheetData>
    <row r="2" spans="2:11" ht="21" x14ac:dyDescent="0.5">
      <c r="B2" s="22" t="s">
        <v>34</v>
      </c>
      <c r="C2" s="23"/>
      <c r="D2" s="23"/>
      <c r="E2" s="23"/>
      <c r="F2" s="23"/>
      <c r="G2" s="23"/>
      <c r="H2" s="23"/>
    </row>
    <row r="3" spans="2:11" ht="15.5" x14ac:dyDescent="0.35">
      <c r="B3" s="14" t="s">
        <v>35</v>
      </c>
    </row>
    <row r="4" spans="2:11" x14ac:dyDescent="0.35">
      <c r="C4" s="9">
        <v>0.25</v>
      </c>
      <c r="D4" s="9">
        <v>0.3</v>
      </c>
      <c r="E4" s="9">
        <v>0.35</v>
      </c>
      <c r="F4" s="9">
        <v>0.4</v>
      </c>
      <c r="G4" s="9">
        <v>0.45</v>
      </c>
      <c r="H4" s="9">
        <v>0.5</v>
      </c>
      <c r="I4" s="8" t="s">
        <v>41</v>
      </c>
      <c r="K4" s="1" t="s">
        <v>44</v>
      </c>
    </row>
    <row r="5" spans="2:11" x14ac:dyDescent="0.35">
      <c r="B5" s="8">
        <v>1</v>
      </c>
      <c r="C5">
        <v>-0.42</v>
      </c>
      <c r="D5">
        <v>-0.19</v>
      </c>
      <c r="E5">
        <v>0.05</v>
      </c>
      <c r="F5">
        <v>0.28000000000000003</v>
      </c>
      <c r="G5">
        <v>0.52</v>
      </c>
      <c r="H5">
        <v>0.75</v>
      </c>
      <c r="J5" s="5">
        <f>SUM(C5:H5)</f>
        <v>0.9900000000000001</v>
      </c>
      <c r="K5" s="2">
        <f>J5/J$11*100</f>
        <v>21.382289416846657</v>
      </c>
    </row>
    <row r="6" spans="2:11" x14ac:dyDescent="0.35">
      <c r="B6" s="8">
        <v>2</v>
      </c>
      <c r="C6">
        <v>0.24</v>
      </c>
      <c r="D6">
        <v>0.44</v>
      </c>
      <c r="E6">
        <v>0.63</v>
      </c>
      <c r="F6">
        <v>0.83</v>
      </c>
      <c r="G6">
        <v>1.03</v>
      </c>
      <c r="H6">
        <v>1.22</v>
      </c>
      <c r="J6" s="5">
        <f t="shared" ref="J6:J9" si="0">SUM(C6:H6)</f>
        <v>4.3899999999999997</v>
      </c>
      <c r="K6" s="2">
        <f t="shared" ref="K6:K9" si="1">J6/J$11*100</f>
        <v>94.816414686825041</v>
      </c>
    </row>
    <row r="7" spans="2:11" x14ac:dyDescent="0.35">
      <c r="B7" s="8">
        <v>3</v>
      </c>
      <c r="C7">
        <v>0.36</v>
      </c>
      <c r="D7">
        <v>0.53</v>
      </c>
      <c r="E7">
        <v>0.69</v>
      </c>
      <c r="F7">
        <v>0.85</v>
      </c>
      <c r="G7">
        <v>1.02</v>
      </c>
      <c r="H7">
        <v>1.18</v>
      </c>
      <c r="J7" s="5">
        <f t="shared" si="0"/>
        <v>4.63</v>
      </c>
      <c r="K7" s="2">
        <f t="shared" si="1"/>
        <v>100</v>
      </c>
    </row>
    <row r="8" spans="2:11" x14ac:dyDescent="0.35">
      <c r="B8" s="8">
        <v>4</v>
      </c>
      <c r="C8">
        <v>0.31</v>
      </c>
      <c r="D8">
        <v>0.47</v>
      </c>
      <c r="E8">
        <v>0.62</v>
      </c>
      <c r="F8">
        <v>0.77</v>
      </c>
      <c r="G8">
        <v>0.93</v>
      </c>
      <c r="H8">
        <v>1.08</v>
      </c>
      <c r="J8" s="5">
        <f t="shared" si="0"/>
        <v>4.18</v>
      </c>
      <c r="K8" s="2">
        <f t="shared" si="1"/>
        <v>90.280777537796979</v>
      </c>
    </row>
    <row r="9" spans="2:11" x14ac:dyDescent="0.35">
      <c r="B9" s="8">
        <v>5</v>
      </c>
      <c r="C9">
        <v>0.18</v>
      </c>
      <c r="D9">
        <v>0.31</v>
      </c>
      <c r="E9">
        <v>0.44</v>
      </c>
      <c r="F9">
        <v>0.56000000000000005</v>
      </c>
      <c r="G9">
        <v>0.69</v>
      </c>
      <c r="H9">
        <v>0.82</v>
      </c>
      <c r="J9" s="5">
        <f t="shared" si="0"/>
        <v>2.9999999999999996</v>
      </c>
      <c r="K9" s="2">
        <f t="shared" si="1"/>
        <v>64.794816414686821</v>
      </c>
    </row>
    <row r="11" spans="2:11" x14ac:dyDescent="0.35">
      <c r="J11">
        <f>MAX(J5:J9)</f>
        <v>4.63</v>
      </c>
      <c r="K11" t="s">
        <v>43</v>
      </c>
    </row>
    <row r="12" spans="2:11" ht="21" x14ac:dyDescent="0.5">
      <c r="B12" s="22" t="s">
        <v>37</v>
      </c>
      <c r="C12" s="23"/>
      <c r="D12" s="23"/>
      <c r="E12" s="23"/>
      <c r="F12" s="23"/>
      <c r="G12" s="23"/>
      <c r="H12" s="23"/>
    </row>
    <row r="13" spans="2:11" ht="15.5" x14ac:dyDescent="0.35">
      <c r="B13" s="14" t="s">
        <v>35</v>
      </c>
    </row>
    <row r="14" spans="2:11" x14ac:dyDescent="0.35">
      <c r="C14" s="9">
        <v>0.5</v>
      </c>
      <c r="D14" s="9">
        <v>0.75</v>
      </c>
      <c r="E14" s="9">
        <v>1</v>
      </c>
      <c r="F14" s="9">
        <v>1.25</v>
      </c>
      <c r="G14" s="9">
        <v>1.5</v>
      </c>
      <c r="H14" s="9">
        <v>1.75</v>
      </c>
      <c r="I14" s="8" t="s">
        <v>42</v>
      </c>
      <c r="K14" s="1" t="s">
        <v>44</v>
      </c>
    </row>
    <row r="15" spans="2:11" x14ac:dyDescent="0.35">
      <c r="B15" s="8" t="s">
        <v>14</v>
      </c>
      <c r="C15">
        <v>1.1399999999999999</v>
      </c>
      <c r="D15">
        <v>0.89</v>
      </c>
      <c r="E15">
        <v>0.64</v>
      </c>
      <c r="F15">
        <v>0.39</v>
      </c>
      <c r="G15">
        <v>0.14000000000000001</v>
      </c>
      <c r="H15">
        <v>-0.11</v>
      </c>
      <c r="J15" s="5">
        <f>SUM(C15:H15)</f>
        <v>3.0900000000000003</v>
      </c>
      <c r="K15" s="2">
        <f>J15/J$21*100</f>
        <v>62.804878048780488</v>
      </c>
    </row>
    <row r="16" spans="2:11" x14ac:dyDescent="0.35">
      <c r="B16" s="8" t="s">
        <v>15</v>
      </c>
      <c r="C16">
        <v>1.07</v>
      </c>
      <c r="D16">
        <v>0.97</v>
      </c>
      <c r="E16">
        <v>0.87</v>
      </c>
      <c r="F16">
        <v>0.77</v>
      </c>
      <c r="G16">
        <v>0.67</v>
      </c>
      <c r="H16">
        <v>0.56999999999999995</v>
      </c>
      <c r="J16" s="5">
        <f t="shared" ref="J16:J19" si="2">SUM(C16:H16)</f>
        <v>4.9200000000000008</v>
      </c>
      <c r="K16" s="2">
        <f t="shared" ref="K16:K19" si="3">J16/J$21*100</f>
        <v>100</v>
      </c>
    </row>
    <row r="17" spans="1:11" x14ac:dyDescent="0.35">
      <c r="B17" s="8" t="s">
        <v>16</v>
      </c>
      <c r="C17">
        <v>0.91</v>
      </c>
      <c r="D17">
        <v>0.86</v>
      </c>
      <c r="E17">
        <v>0.81</v>
      </c>
      <c r="F17">
        <v>0.76</v>
      </c>
      <c r="G17">
        <v>0.71</v>
      </c>
      <c r="H17">
        <v>0.66</v>
      </c>
      <c r="J17" s="5">
        <f t="shared" si="2"/>
        <v>4.71</v>
      </c>
      <c r="K17" s="2">
        <f t="shared" si="3"/>
        <v>95.731707317073159</v>
      </c>
    </row>
    <row r="18" spans="1:11" x14ac:dyDescent="0.35">
      <c r="B18" s="8" t="s">
        <v>17</v>
      </c>
      <c r="C18">
        <v>0.84</v>
      </c>
      <c r="D18">
        <v>0.79</v>
      </c>
      <c r="E18">
        <v>0.74</v>
      </c>
      <c r="F18">
        <v>0.69</v>
      </c>
      <c r="G18">
        <v>0.64</v>
      </c>
      <c r="H18">
        <v>0.59</v>
      </c>
      <c r="J18" s="5">
        <f t="shared" si="2"/>
        <v>4.29</v>
      </c>
      <c r="K18" s="2">
        <f t="shared" si="3"/>
        <v>87.195121951219505</v>
      </c>
    </row>
    <row r="19" spans="1:11" x14ac:dyDescent="0.35">
      <c r="B19" s="8" t="s">
        <v>18</v>
      </c>
      <c r="C19">
        <v>0.65</v>
      </c>
      <c r="D19">
        <v>0.6</v>
      </c>
      <c r="E19">
        <v>0.55000000000000004</v>
      </c>
      <c r="F19">
        <v>0.5</v>
      </c>
      <c r="G19">
        <v>0.45</v>
      </c>
      <c r="H19">
        <v>0.4</v>
      </c>
      <c r="J19" s="5">
        <f t="shared" si="2"/>
        <v>3.15</v>
      </c>
      <c r="K19" s="2">
        <f t="shared" si="3"/>
        <v>64.024390243902431</v>
      </c>
    </row>
    <row r="20" spans="1:11" x14ac:dyDescent="0.35">
      <c r="B20" s="15" t="s">
        <v>36</v>
      </c>
    </row>
    <row r="21" spans="1:11" x14ac:dyDescent="0.35">
      <c r="B21" s="15"/>
      <c r="J21">
        <f>MAX(J15:J19)</f>
        <v>4.9200000000000008</v>
      </c>
      <c r="K21" t="s">
        <v>43</v>
      </c>
    </row>
    <row r="23" spans="1:11" ht="21" x14ac:dyDescent="0.5">
      <c r="B23" s="22" t="s">
        <v>38</v>
      </c>
      <c r="C23" s="23"/>
      <c r="D23" s="23"/>
      <c r="E23" s="23"/>
      <c r="F23" s="23"/>
      <c r="G23" s="23"/>
      <c r="H23" s="23"/>
      <c r="I23" s="23"/>
    </row>
    <row r="24" spans="1:11" ht="15.5" x14ac:dyDescent="0.35">
      <c r="B24" s="14" t="s">
        <v>39</v>
      </c>
    </row>
    <row r="25" spans="1:11" x14ac:dyDescent="0.35">
      <c r="A25" s="8" t="s">
        <v>48</v>
      </c>
      <c r="C25" s="17">
        <v>10</v>
      </c>
      <c r="D25" s="17">
        <v>15</v>
      </c>
      <c r="E25" s="17">
        <v>20</v>
      </c>
      <c r="F25" s="17">
        <v>25</v>
      </c>
      <c r="G25" s="17">
        <v>30</v>
      </c>
      <c r="H25" s="9" t="s">
        <v>40</v>
      </c>
      <c r="K25" s="1" t="s">
        <v>44</v>
      </c>
    </row>
    <row r="26" spans="1:11" x14ac:dyDescent="0.35">
      <c r="B26" s="8" t="s">
        <v>14</v>
      </c>
      <c r="C26">
        <v>-0.77</v>
      </c>
      <c r="D26">
        <v>-0.36</v>
      </c>
      <c r="E26">
        <v>0.05</v>
      </c>
      <c r="F26">
        <v>0.46</v>
      </c>
      <c r="G26">
        <v>0.87</v>
      </c>
      <c r="J26" s="5">
        <f>SUM(C26:G26)</f>
        <v>0.25000000000000011</v>
      </c>
      <c r="K26" s="2">
        <f>J26/J$32*100</f>
        <v>7.2674418604651212</v>
      </c>
    </row>
    <row r="27" spans="1:11" x14ac:dyDescent="0.35">
      <c r="B27" s="8" t="s">
        <v>15</v>
      </c>
      <c r="C27">
        <v>-0.05</v>
      </c>
      <c r="D27">
        <v>0.28999999999999998</v>
      </c>
      <c r="E27">
        <v>0.63</v>
      </c>
      <c r="F27">
        <v>0.98</v>
      </c>
      <c r="G27">
        <v>1.32</v>
      </c>
      <c r="J27" s="5">
        <f>SUM(C27:G27)</f>
        <v>3.17</v>
      </c>
      <c r="K27" s="2">
        <f t="shared" ref="K27:K30" si="4">J27/J$32*100</f>
        <v>92.151162790697683</v>
      </c>
    </row>
    <row r="28" spans="1:11" x14ac:dyDescent="0.35">
      <c r="B28" s="8" t="s">
        <v>16</v>
      </c>
      <c r="C28">
        <v>0.12</v>
      </c>
      <c r="D28">
        <v>0.4</v>
      </c>
      <c r="E28">
        <v>0.69</v>
      </c>
      <c r="F28">
        <v>0.97</v>
      </c>
      <c r="G28">
        <v>1.26</v>
      </c>
      <c r="J28" s="5">
        <f>SUM(C28:G28)</f>
        <v>3.4399999999999995</v>
      </c>
      <c r="K28" s="2">
        <f t="shared" si="4"/>
        <v>100</v>
      </c>
    </row>
    <row r="29" spans="1:11" x14ac:dyDescent="0.35">
      <c r="B29" s="8" t="s">
        <v>17</v>
      </c>
      <c r="C29">
        <v>0.08</v>
      </c>
      <c r="D29">
        <v>0.35</v>
      </c>
      <c r="E29">
        <v>0.62</v>
      </c>
      <c r="F29">
        <v>0.89</v>
      </c>
      <c r="G29">
        <v>1.1599999999999999</v>
      </c>
      <c r="J29" s="5">
        <f>SUM(C29:G29)</f>
        <v>3.0999999999999996</v>
      </c>
      <c r="K29" s="2">
        <f t="shared" si="4"/>
        <v>90.116279069767444</v>
      </c>
    </row>
    <row r="30" spans="1:11" x14ac:dyDescent="0.35">
      <c r="B30" s="8" t="s">
        <v>18</v>
      </c>
      <c r="C30">
        <v>-0.01</v>
      </c>
      <c r="D30">
        <v>0.21</v>
      </c>
      <c r="E30">
        <v>0.44</v>
      </c>
      <c r="F30">
        <v>0.66</v>
      </c>
      <c r="G30">
        <v>0.88</v>
      </c>
      <c r="J30" s="5">
        <f>SUM(C30:G30)</f>
        <v>2.1800000000000002</v>
      </c>
      <c r="K30" s="2">
        <f t="shared" si="4"/>
        <v>63.372093023255829</v>
      </c>
    </row>
    <row r="31" spans="1:11" x14ac:dyDescent="0.35">
      <c r="B31" s="15"/>
    </row>
    <row r="32" spans="1:11" x14ac:dyDescent="0.35">
      <c r="J32">
        <f>MAX(J26:J30)</f>
        <v>3.4399999999999995</v>
      </c>
      <c r="K32" t="s">
        <v>43</v>
      </c>
    </row>
    <row r="35" spans="9:12" x14ac:dyDescent="0.35">
      <c r="I35" t="s">
        <v>32</v>
      </c>
      <c r="J35" s="8" t="s">
        <v>47</v>
      </c>
    </row>
    <row r="36" spans="9:12" x14ac:dyDescent="0.35">
      <c r="I36" t="s">
        <v>49</v>
      </c>
      <c r="J36" s="18" t="s">
        <v>46</v>
      </c>
      <c r="K36" s="18" t="s">
        <v>45</v>
      </c>
      <c r="L36" s="18" t="s">
        <v>44</v>
      </c>
    </row>
    <row r="37" spans="9:12" x14ac:dyDescent="0.35">
      <c r="I37" s="8">
        <v>1</v>
      </c>
      <c r="J37" s="5">
        <f>K37/17</f>
        <v>0.25470588235294117</v>
      </c>
      <c r="K37">
        <f>J5+J15+J26</f>
        <v>4.33</v>
      </c>
      <c r="L37" s="2">
        <f>(K5+K15+K26)/3</f>
        <v>30.484869775364089</v>
      </c>
    </row>
    <row r="38" spans="9:12" x14ac:dyDescent="0.35">
      <c r="I38" s="8">
        <v>2</v>
      </c>
      <c r="J38" s="5">
        <f>K38/17</f>
        <v>0.73411764705882354</v>
      </c>
      <c r="K38">
        <f>J6+J16+J27</f>
        <v>12.48</v>
      </c>
      <c r="L38" s="2">
        <f>(K6+K16+K27)/3</f>
        <v>95.655859159174256</v>
      </c>
    </row>
    <row r="39" spans="9:12" x14ac:dyDescent="0.35">
      <c r="I39" s="8">
        <v>3</v>
      </c>
      <c r="J39" s="5">
        <f>K39/17</f>
        <v>0.75176470588235289</v>
      </c>
      <c r="K39">
        <f>J7+J17+J28</f>
        <v>12.78</v>
      </c>
      <c r="L39" s="2">
        <f>(K7+K17+K28)/3</f>
        <v>98.577235772357724</v>
      </c>
    </row>
    <row r="40" spans="9:12" x14ac:dyDescent="0.35">
      <c r="I40" s="8">
        <v>4</v>
      </c>
      <c r="J40" s="5">
        <f>K40/17</f>
        <v>0.68058823529411761</v>
      </c>
      <c r="K40">
        <f>J8+J18+J29</f>
        <v>11.569999999999999</v>
      </c>
      <c r="L40" s="2">
        <f>(K8+K18+K29)/3</f>
        <v>89.197392852927976</v>
      </c>
    </row>
    <row r="41" spans="9:12" x14ac:dyDescent="0.35">
      <c r="I41" s="8">
        <v>5</v>
      </c>
      <c r="J41" s="5">
        <f>K41/17</f>
        <v>0.49</v>
      </c>
      <c r="K41">
        <f>J9+J19+J30</f>
        <v>8.33</v>
      </c>
      <c r="L41" s="2">
        <f>(K9+K19+K30)/3</f>
        <v>64.063766560615022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Calculations</vt:lpstr>
      <vt:lpstr>Graphs</vt:lpstr>
      <vt:lpstr>Model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DrTimPerkins</dc:creator>
  <cp:lastModifiedBy>Dr. Timothy Perkins</cp:lastModifiedBy>
  <cp:lastPrinted>2013-02-05T16:53:06Z</cp:lastPrinted>
  <dcterms:created xsi:type="dcterms:W3CDTF">2013-01-29T12:37:58Z</dcterms:created>
  <dcterms:modified xsi:type="dcterms:W3CDTF">2018-02-15T21:38:36Z</dcterms:modified>
</cp:coreProperties>
</file>