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ttps://outlookuga-my.sharepoint.com/personal/tbliss_uga_edu/Documents/Aquaculture/Grants/USDA/"/>
    </mc:Choice>
  </mc:AlternateContent>
  <bookViews>
    <workbookView xWindow="0" yWindow="0" windowWidth="4725" windowHeight="9570" activeTab="1"/>
  </bookViews>
  <sheets>
    <sheet name="Menu" sheetId="1" r:id="rId1"/>
    <sheet name="Oyster Crop Budget" sheetId="2" r:id="rId2"/>
    <sheet name="Line Item Notes" sheetId="3" r:id="rId3"/>
    <sheet name="Budget Evaluation" sheetId="4" r:id="rId4"/>
    <sheet name="Sensitivity Analysis" sheetId="5" r:id="rId5"/>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2" l="1"/>
  <c r="E56" i="2" l="1"/>
  <c r="J56" i="2" s="1"/>
  <c r="G56" i="2" l="1"/>
  <c r="H56" i="2"/>
  <c r="I56" i="2"/>
  <c r="F56" i="2"/>
  <c r="D49" i="3"/>
  <c r="D52" i="3" s="1"/>
  <c r="J43" i="2"/>
  <c r="I43" i="2"/>
  <c r="H43" i="2"/>
  <c r="G43" i="2"/>
  <c r="F43" i="2"/>
  <c r="E27" i="2"/>
  <c r="E26" i="2"/>
  <c r="F7" i="2"/>
  <c r="E7" i="2" l="1"/>
  <c r="F8" i="2"/>
  <c r="F9" i="2" s="1"/>
  <c r="F10" i="2" s="1"/>
  <c r="F11" i="2" s="1"/>
  <c r="J16" i="2" s="1"/>
  <c r="D50" i="3"/>
  <c r="D51" i="3"/>
  <c r="O82" i="5" l="1"/>
  <c r="P82" i="5"/>
  <c r="Q82" i="5"/>
  <c r="R82" i="5"/>
  <c r="S82" i="5"/>
  <c r="T82" i="5"/>
  <c r="U82" i="5"/>
  <c r="V82" i="5"/>
  <c r="W82" i="5"/>
  <c r="X82" i="5"/>
  <c r="Y82" i="5"/>
  <c r="Z82" i="5"/>
  <c r="AA82" i="5"/>
  <c r="AB82" i="5"/>
  <c r="O83" i="5"/>
  <c r="P83" i="5"/>
  <c r="Q83" i="5"/>
  <c r="R83" i="5"/>
  <c r="S83" i="5"/>
  <c r="T83" i="5"/>
  <c r="U83" i="5"/>
  <c r="V83" i="5"/>
  <c r="W83" i="5"/>
  <c r="X83" i="5"/>
  <c r="Y83" i="5"/>
  <c r="Z83" i="5"/>
  <c r="AA83" i="5"/>
  <c r="AB83" i="5"/>
  <c r="O84" i="5"/>
  <c r="P84" i="5"/>
  <c r="Q84" i="5"/>
  <c r="R84" i="5"/>
  <c r="S84" i="5"/>
  <c r="T84" i="5"/>
  <c r="U84" i="5"/>
  <c r="V84" i="5"/>
  <c r="W84" i="5"/>
  <c r="X84" i="5"/>
  <c r="Y84" i="5"/>
  <c r="Z84" i="5"/>
  <c r="AA84" i="5"/>
  <c r="AB84" i="5"/>
  <c r="O85" i="5"/>
  <c r="P85" i="5"/>
  <c r="Q85" i="5"/>
  <c r="R85" i="5"/>
  <c r="S85" i="5"/>
  <c r="T85" i="5"/>
  <c r="U85" i="5"/>
  <c r="V85" i="5"/>
  <c r="W85" i="5"/>
  <c r="X85" i="5"/>
  <c r="Y85" i="5"/>
  <c r="Z85" i="5"/>
  <c r="AA85" i="5"/>
  <c r="AB85" i="5"/>
  <c r="O86" i="5"/>
  <c r="P86" i="5"/>
  <c r="Q86" i="5"/>
  <c r="R86" i="5"/>
  <c r="S86" i="5"/>
  <c r="T86" i="5"/>
  <c r="U86" i="5"/>
  <c r="V86" i="5"/>
  <c r="W86" i="5"/>
  <c r="X86" i="5"/>
  <c r="Y86" i="5"/>
  <c r="Z86" i="5"/>
  <c r="AA86" i="5"/>
  <c r="AB86" i="5"/>
  <c r="O87" i="5"/>
  <c r="P87" i="5"/>
  <c r="Q87" i="5"/>
  <c r="R87" i="5"/>
  <c r="S87" i="5"/>
  <c r="T87" i="5"/>
  <c r="U87" i="5"/>
  <c r="V87" i="5"/>
  <c r="W87" i="5"/>
  <c r="X87" i="5"/>
  <c r="Y87" i="5"/>
  <c r="Z87" i="5"/>
  <c r="AA87" i="5"/>
  <c r="AB87" i="5"/>
  <c r="O88" i="5"/>
  <c r="P88" i="5"/>
  <c r="Q88" i="5"/>
  <c r="R88" i="5"/>
  <c r="S88" i="5"/>
  <c r="T88" i="5"/>
  <c r="U88" i="5"/>
  <c r="V88" i="5"/>
  <c r="W88" i="5"/>
  <c r="X88" i="5"/>
  <c r="Y88" i="5"/>
  <c r="Z88" i="5"/>
  <c r="AA88" i="5"/>
  <c r="AB88" i="5"/>
  <c r="O89" i="5"/>
  <c r="P89" i="5"/>
  <c r="Q89" i="5"/>
  <c r="R89" i="5"/>
  <c r="S89" i="5"/>
  <c r="T89" i="5"/>
  <c r="U89" i="5"/>
  <c r="V89" i="5"/>
  <c r="W89" i="5"/>
  <c r="X89" i="5"/>
  <c r="Y89" i="5"/>
  <c r="Z89" i="5"/>
  <c r="AA89" i="5"/>
  <c r="AB89" i="5"/>
  <c r="O90" i="5"/>
  <c r="P90" i="5"/>
  <c r="Q90" i="5"/>
  <c r="R90" i="5"/>
  <c r="S90" i="5"/>
  <c r="T90" i="5"/>
  <c r="U90" i="5"/>
  <c r="V90" i="5"/>
  <c r="W90" i="5"/>
  <c r="X90" i="5"/>
  <c r="Y90" i="5"/>
  <c r="Z90" i="5"/>
  <c r="AA90" i="5"/>
  <c r="AB90" i="5"/>
  <c r="O91" i="5"/>
  <c r="P91" i="5"/>
  <c r="Q91" i="5"/>
  <c r="R91" i="5"/>
  <c r="S91" i="5"/>
  <c r="T91" i="5"/>
  <c r="U91" i="5"/>
  <c r="V91" i="5"/>
  <c r="W91" i="5"/>
  <c r="X91" i="5"/>
  <c r="Y91" i="5"/>
  <c r="Z91" i="5"/>
  <c r="AA91" i="5"/>
  <c r="AB91" i="5"/>
  <c r="O92" i="5"/>
  <c r="P92" i="5"/>
  <c r="Q92" i="5"/>
  <c r="R92" i="5"/>
  <c r="S92" i="5"/>
  <c r="T92" i="5"/>
  <c r="U92" i="5"/>
  <c r="V92" i="5"/>
  <c r="W92" i="5"/>
  <c r="X92" i="5"/>
  <c r="Y92" i="5"/>
  <c r="Z92" i="5"/>
  <c r="AA92" i="5"/>
  <c r="AB92" i="5"/>
  <c r="O93" i="5"/>
  <c r="P93" i="5"/>
  <c r="Q93" i="5"/>
  <c r="R93" i="5"/>
  <c r="S93" i="5"/>
  <c r="T93" i="5"/>
  <c r="U93" i="5"/>
  <c r="V93" i="5"/>
  <c r="W93" i="5"/>
  <c r="X93" i="5"/>
  <c r="Y93" i="5"/>
  <c r="Z93" i="5"/>
  <c r="AA93" i="5"/>
  <c r="AB93" i="5"/>
  <c r="O94" i="5"/>
  <c r="P94" i="5"/>
  <c r="Q94" i="5"/>
  <c r="R94" i="5"/>
  <c r="S94" i="5"/>
  <c r="T94" i="5"/>
  <c r="U94" i="5"/>
  <c r="V94" i="5"/>
  <c r="W94" i="5"/>
  <c r="X94" i="5"/>
  <c r="Y94" i="5"/>
  <c r="Z94" i="5"/>
  <c r="AA94" i="5"/>
  <c r="AB94" i="5"/>
  <c r="O95" i="5"/>
  <c r="P95" i="5"/>
  <c r="Q95" i="5"/>
  <c r="R95" i="5"/>
  <c r="S95" i="5"/>
  <c r="T95" i="5"/>
  <c r="U95" i="5"/>
  <c r="V95" i="5"/>
  <c r="W95" i="5"/>
  <c r="X95" i="5"/>
  <c r="Y95" i="5"/>
  <c r="Z95" i="5"/>
  <c r="AA95" i="5"/>
  <c r="AB95" i="5"/>
  <c r="P81" i="5"/>
  <c r="Q81" i="5"/>
  <c r="R81" i="5"/>
  <c r="S81" i="5"/>
  <c r="T81" i="5"/>
  <c r="U81" i="5"/>
  <c r="V81" i="5"/>
  <c r="W81" i="5"/>
  <c r="X81" i="5"/>
  <c r="Y81" i="5"/>
  <c r="Z81" i="5"/>
  <c r="AA81" i="5"/>
  <c r="AB81" i="5"/>
  <c r="N81" i="5"/>
  <c r="O78" i="5"/>
  <c r="P78" i="5"/>
  <c r="Q78" i="5"/>
  <c r="R78" i="5"/>
  <c r="S78" i="5"/>
  <c r="T78" i="5"/>
  <c r="U78" i="5"/>
  <c r="V78" i="5"/>
  <c r="W78" i="5"/>
  <c r="X78" i="5"/>
  <c r="Y78" i="5"/>
  <c r="Z78" i="5"/>
  <c r="AA78" i="5"/>
  <c r="AB78" i="5"/>
  <c r="O65" i="5"/>
  <c r="P65" i="5"/>
  <c r="Q65" i="5"/>
  <c r="R65" i="5"/>
  <c r="S65" i="5"/>
  <c r="T65" i="5"/>
  <c r="U65" i="5"/>
  <c r="V65" i="5"/>
  <c r="W65" i="5"/>
  <c r="X65" i="5"/>
  <c r="Y65" i="5"/>
  <c r="Z65" i="5"/>
  <c r="AA65" i="5"/>
  <c r="AB65" i="5"/>
  <c r="O66" i="5"/>
  <c r="P66" i="5"/>
  <c r="Q66" i="5"/>
  <c r="R66" i="5"/>
  <c r="S66" i="5"/>
  <c r="T66" i="5"/>
  <c r="U66" i="5"/>
  <c r="V66" i="5"/>
  <c r="W66" i="5"/>
  <c r="X66" i="5"/>
  <c r="Y66" i="5"/>
  <c r="Z66" i="5"/>
  <c r="AA66" i="5"/>
  <c r="AB66" i="5"/>
  <c r="O67" i="5"/>
  <c r="P67" i="5"/>
  <c r="Q67" i="5"/>
  <c r="R67" i="5"/>
  <c r="S67" i="5"/>
  <c r="T67" i="5"/>
  <c r="U67" i="5"/>
  <c r="V67" i="5"/>
  <c r="W67" i="5"/>
  <c r="X67" i="5"/>
  <c r="Y67" i="5"/>
  <c r="Z67" i="5"/>
  <c r="AA67" i="5"/>
  <c r="AB67" i="5"/>
  <c r="O68" i="5"/>
  <c r="P68" i="5"/>
  <c r="Q68" i="5"/>
  <c r="R68" i="5"/>
  <c r="S68" i="5"/>
  <c r="T68" i="5"/>
  <c r="U68" i="5"/>
  <c r="V68" i="5"/>
  <c r="W68" i="5"/>
  <c r="X68" i="5"/>
  <c r="Y68" i="5"/>
  <c r="Z68" i="5"/>
  <c r="AA68" i="5"/>
  <c r="AB68" i="5"/>
  <c r="O69" i="5"/>
  <c r="P69" i="5"/>
  <c r="Q69" i="5"/>
  <c r="R69" i="5"/>
  <c r="S69" i="5"/>
  <c r="T69" i="5"/>
  <c r="U69" i="5"/>
  <c r="V69" i="5"/>
  <c r="W69" i="5"/>
  <c r="X69" i="5"/>
  <c r="Y69" i="5"/>
  <c r="Z69" i="5"/>
  <c r="AA69" i="5"/>
  <c r="AB69" i="5"/>
  <c r="O70" i="5"/>
  <c r="P70" i="5"/>
  <c r="Q70" i="5"/>
  <c r="R70" i="5"/>
  <c r="S70" i="5"/>
  <c r="T70" i="5"/>
  <c r="U70" i="5"/>
  <c r="V70" i="5"/>
  <c r="W70" i="5"/>
  <c r="X70" i="5"/>
  <c r="Y70" i="5"/>
  <c r="Z70" i="5"/>
  <c r="AA70" i="5"/>
  <c r="AB70" i="5"/>
  <c r="O71" i="5"/>
  <c r="P71" i="5"/>
  <c r="Q71" i="5"/>
  <c r="R71" i="5"/>
  <c r="S71" i="5"/>
  <c r="T71" i="5"/>
  <c r="U71" i="5"/>
  <c r="V71" i="5"/>
  <c r="W71" i="5"/>
  <c r="X71" i="5"/>
  <c r="Y71" i="5"/>
  <c r="Z71" i="5"/>
  <c r="AA71" i="5"/>
  <c r="AB71" i="5"/>
  <c r="O72" i="5"/>
  <c r="P72" i="5"/>
  <c r="Q72" i="5"/>
  <c r="R72" i="5"/>
  <c r="S72" i="5"/>
  <c r="T72" i="5"/>
  <c r="U72" i="5"/>
  <c r="V72" i="5"/>
  <c r="W72" i="5"/>
  <c r="X72" i="5"/>
  <c r="Y72" i="5"/>
  <c r="Z72" i="5"/>
  <c r="AA72" i="5"/>
  <c r="AB72" i="5"/>
  <c r="O73" i="5"/>
  <c r="P73" i="5"/>
  <c r="Q73" i="5"/>
  <c r="R73" i="5"/>
  <c r="S73" i="5"/>
  <c r="T73" i="5"/>
  <c r="U73" i="5"/>
  <c r="V73" i="5"/>
  <c r="W73" i="5"/>
  <c r="X73" i="5"/>
  <c r="Y73" i="5"/>
  <c r="Z73" i="5"/>
  <c r="AA73" i="5"/>
  <c r="AB73" i="5"/>
  <c r="O74" i="5"/>
  <c r="P74" i="5"/>
  <c r="Q74" i="5"/>
  <c r="R74" i="5"/>
  <c r="S74" i="5"/>
  <c r="T74" i="5"/>
  <c r="U74" i="5"/>
  <c r="V74" i="5"/>
  <c r="W74" i="5"/>
  <c r="X74" i="5"/>
  <c r="Y74" i="5"/>
  <c r="Z74" i="5"/>
  <c r="AA74" i="5"/>
  <c r="AB74" i="5"/>
  <c r="O75" i="5"/>
  <c r="P75" i="5"/>
  <c r="Q75" i="5"/>
  <c r="R75" i="5"/>
  <c r="S75" i="5"/>
  <c r="T75" i="5"/>
  <c r="U75" i="5"/>
  <c r="V75" i="5"/>
  <c r="W75" i="5"/>
  <c r="X75" i="5"/>
  <c r="Y75" i="5"/>
  <c r="Z75" i="5"/>
  <c r="AA75" i="5"/>
  <c r="AB75" i="5"/>
  <c r="O76" i="5"/>
  <c r="P76" i="5"/>
  <c r="Q76" i="5"/>
  <c r="R76" i="5"/>
  <c r="S76" i="5"/>
  <c r="T76" i="5"/>
  <c r="U76" i="5"/>
  <c r="V76" i="5"/>
  <c r="W76" i="5"/>
  <c r="X76" i="5"/>
  <c r="Y76" i="5"/>
  <c r="Z76" i="5"/>
  <c r="AA76" i="5"/>
  <c r="AB76" i="5"/>
  <c r="O77" i="5"/>
  <c r="P77" i="5"/>
  <c r="Q77" i="5"/>
  <c r="R77" i="5"/>
  <c r="S77" i="5"/>
  <c r="T77" i="5"/>
  <c r="U77" i="5"/>
  <c r="V77" i="5"/>
  <c r="W77" i="5"/>
  <c r="X77" i="5"/>
  <c r="Y77" i="5"/>
  <c r="Z77" i="5"/>
  <c r="AA77" i="5"/>
  <c r="AB77" i="5"/>
  <c r="P64" i="5"/>
  <c r="Q64" i="5"/>
  <c r="R64" i="5"/>
  <c r="S64" i="5"/>
  <c r="T64" i="5"/>
  <c r="U64" i="5"/>
  <c r="V64" i="5"/>
  <c r="W64" i="5"/>
  <c r="X64" i="5"/>
  <c r="Y64" i="5"/>
  <c r="Z64" i="5"/>
  <c r="AA64" i="5"/>
  <c r="AB64" i="5"/>
  <c r="N64" i="5"/>
  <c r="O48" i="5"/>
  <c r="P48" i="5"/>
  <c r="Q48" i="5"/>
  <c r="R48" i="5"/>
  <c r="S48" i="5"/>
  <c r="T48" i="5"/>
  <c r="U48" i="5"/>
  <c r="V48" i="5"/>
  <c r="W48" i="5"/>
  <c r="X48" i="5"/>
  <c r="Y48" i="5"/>
  <c r="Z48" i="5"/>
  <c r="AA48" i="5"/>
  <c r="AB48" i="5"/>
  <c r="O49" i="5"/>
  <c r="P49" i="5"/>
  <c r="Q49" i="5"/>
  <c r="R49" i="5"/>
  <c r="S49" i="5"/>
  <c r="T49" i="5"/>
  <c r="U49" i="5"/>
  <c r="V49" i="5"/>
  <c r="W49" i="5"/>
  <c r="X49" i="5"/>
  <c r="Y49" i="5"/>
  <c r="Z49" i="5"/>
  <c r="AA49" i="5"/>
  <c r="AB49" i="5"/>
  <c r="O50" i="5"/>
  <c r="P50" i="5"/>
  <c r="Q50" i="5"/>
  <c r="R50" i="5"/>
  <c r="S50" i="5"/>
  <c r="T50" i="5"/>
  <c r="U50" i="5"/>
  <c r="V50" i="5"/>
  <c r="W50" i="5"/>
  <c r="X50" i="5"/>
  <c r="Y50" i="5"/>
  <c r="Z50" i="5"/>
  <c r="AA50" i="5"/>
  <c r="AB50" i="5"/>
  <c r="O51" i="5"/>
  <c r="P51" i="5"/>
  <c r="Q51" i="5"/>
  <c r="R51" i="5"/>
  <c r="S51" i="5"/>
  <c r="T51" i="5"/>
  <c r="U51" i="5"/>
  <c r="V51" i="5"/>
  <c r="W51" i="5"/>
  <c r="X51" i="5"/>
  <c r="Y51" i="5"/>
  <c r="Z51" i="5"/>
  <c r="AA51" i="5"/>
  <c r="AB51" i="5"/>
  <c r="O52" i="5"/>
  <c r="P52" i="5"/>
  <c r="Q52" i="5"/>
  <c r="R52" i="5"/>
  <c r="S52" i="5"/>
  <c r="T52" i="5"/>
  <c r="U52" i="5"/>
  <c r="V52" i="5"/>
  <c r="W52" i="5"/>
  <c r="X52" i="5"/>
  <c r="Y52" i="5"/>
  <c r="Z52" i="5"/>
  <c r="AA52" i="5"/>
  <c r="AB52" i="5"/>
  <c r="O53" i="5"/>
  <c r="P53" i="5"/>
  <c r="Q53" i="5"/>
  <c r="R53" i="5"/>
  <c r="S53" i="5"/>
  <c r="T53" i="5"/>
  <c r="U53" i="5"/>
  <c r="V53" i="5"/>
  <c r="W53" i="5"/>
  <c r="X53" i="5"/>
  <c r="Y53" i="5"/>
  <c r="Z53" i="5"/>
  <c r="AA53" i="5"/>
  <c r="AB53" i="5"/>
  <c r="O54" i="5"/>
  <c r="P54" i="5"/>
  <c r="Q54" i="5"/>
  <c r="R54" i="5"/>
  <c r="S54" i="5"/>
  <c r="T54" i="5"/>
  <c r="U54" i="5"/>
  <c r="V54" i="5"/>
  <c r="W54" i="5"/>
  <c r="X54" i="5"/>
  <c r="Y54" i="5"/>
  <c r="Z54" i="5"/>
  <c r="AA54" i="5"/>
  <c r="AB54" i="5"/>
  <c r="O55" i="5"/>
  <c r="P55" i="5"/>
  <c r="Q55" i="5"/>
  <c r="R55" i="5"/>
  <c r="S55" i="5"/>
  <c r="T55" i="5"/>
  <c r="U55" i="5"/>
  <c r="V55" i="5"/>
  <c r="W55" i="5"/>
  <c r="X55" i="5"/>
  <c r="Y55" i="5"/>
  <c r="Z55" i="5"/>
  <c r="AA55" i="5"/>
  <c r="AB55" i="5"/>
  <c r="O56" i="5"/>
  <c r="P56" i="5"/>
  <c r="Q56" i="5"/>
  <c r="R56" i="5"/>
  <c r="S56" i="5"/>
  <c r="T56" i="5"/>
  <c r="U56" i="5"/>
  <c r="V56" i="5"/>
  <c r="W56" i="5"/>
  <c r="X56" i="5"/>
  <c r="Y56" i="5"/>
  <c r="Z56" i="5"/>
  <c r="AA56" i="5"/>
  <c r="AB56" i="5"/>
  <c r="O57" i="5"/>
  <c r="P57" i="5"/>
  <c r="Q57" i="5"/>
  <c r="R57" i="5"/>
  <c r="S57" i="5"/>
  <c r="T57" i="5"/>
  <c r="U57" i="5"/>
  <c r="V57" i="5"/>
  <c r="W57" i="5"/>
  <c r="X57" i="5"/>
  <c r="Y57" i="5"/>
  <c r="Z57" i="5"/>
  <c r="AA57" i="5"/>
  <c r="AB57" i="5"/>
  <c r="O58" i="5"/>
  <c r="P58" i="5"/>
  <c r="Q58" i="5"/>
  <c r="R58" i="5"/>
  <c r="S58" i="5"/>
  <c r="T58" i="5"/>
  <c r="U58" i="5"/>
  <c r="V58" i="5"/>
  <c r="W58" i="5"/>
  <c r="X58" i="5"/>
  <c r="Y58" i="5"/>
  <c r="Z58" i="5"/>
  <c r="AA58" i="5"/>
  <c r="AB58" i="5"/>
  <c r="O59" i="5"/>
  <c r="P59" i="5"/>
  <c r="Q59" i="5"/>
  <c r="R59" i="5"/>
  <c r="S59" i="5"/>
  <c r="T59" i="5"/>
  <c r="U59" i="5"/>
  <c r="V59" i="5"/>
  <c r="W59" i="5"/>
  <c r="X59" i="5"/>
  <c r="Y59" i="5"/>
  <c r="Z59" i="5"/>
  <c r="AA59" i="5"/>
  <c r="AB59" i="5"/>
  <c r="O60" i="5"/>
  <c r="P60" i="5"/>
  <c r="Q60" i="5"/>
  <c r="R60" i="5"/>
  <c r="S60" i="5"/>
  <c r="T60" i="5"/>
  <c r="U60" i="5"/>
  <c r="V60" i="5"/>
  <c r="W60" i="5"/>
  <c r="X60" i="5"/>
  <c r="Y60" i="5"/>
  <c r="Z60" i="5"/>
  <c r="AA60" i="5"/>
  <c r="AB60" i="5"/>
  <c r="O61" i="5"/>
  <c r="P61" i="5"/>
  <c r="Q61" i="5"/>
  <c r="R61" i="5"/>
  <c r="S61" i="5"/>
  <c r="T61" i="5"/>
  <c r="U61" i="5"/>
  <c r="V61" i="5"/>
  <c r="W61" i="5"/>
  <c r="X61" i="5"/>
  <c r="Y61" i="5"/>
  <c r="Z61" i="5"/>
  <c r="AA61" i="5"/>
  <c r="AB61" i="5"/>
  <c r="P47" i="5"/>
  <c r="Q47" i="5"/>
  <c r="R47" i="5"/>
  <c r="S47" i="5"/>
  <c r="T47" i="5"/>
  <c r="U47" i="5"/>
  <c r="V47" i="5"/>
  <c r="W47" i="5"/>
  <c r="X47" i="5"/>
  <c r="Y47" i="5"/>
  <c r="Z47" i="5"/>
  <c r="AA47" i="5"/>
  <c r="AB47" i="5"/>
  <c r="N47" i="5"/>
  <c r="O32" i="5"/>
  <c r="P32" i="5"/>
  <c r="Q32" i="5"/>
  <c r="R32" i="5"/>
  <c r="S32" i="5"/>
  <c r="T32" i="5"/>
  <c r="U32" i="5"/>
  <c r="V32" i="5"/>
  <c r="W32" i="5"/>
  <c r="X32" i="5"/>
  <c r="Y32" i="5"/>
  <c r="Z32" i="5"/>
  <c r="AA32" i="5"/>
  <c r="AB32" i="5"/>
  <c r="O33" i="5"/>
  <c r="P33" i="5"/>
  <c r="Q33" i="5"/>
  <c r="R33" i="5"/>
  <c r="S33" i="5"/>
  <c r="T33" i="5"/>
  <c r="U33" i="5"/>
  <c r="V33" i="5"/>
  <c r="W33" i="5"/>
  <c r="X33" i="5"/>
  <c r="Y33" i="5"/>
  <c r="Z33" i="5"/>
  <c r="AA33" i="5"/>
  <c r="AB33" i="5"/>
  <c r="O34" i="5"/>
  <c r="P34" i="5"/>
  <c r="Q34" i="5"/>
  <c r="R34" i="5"/>
  <c r="S34" i="5"/>
  <c r="T34" i="5"/>
  <c r="U34" i="5"/>
  <c r="V34" i="5"/>
  <c r="W34" i="5"/>
  <c r="X34" i="5"/>
  <c r="Y34" i="5"/>
  <c r="Z34" i="5"/>
  <c r="AA34" i="5"/>
  <c r="AB34" i="5"/>
  <c r="O35" i="5"/>
  <c r="P35" i="5"/>
  <c r="Q35" i="5"/>
  <c r="R35" i="5"/>
  <c r="S35" i="5"/>
  <c r="T35" i="5"/>
  <c r="U35" i="5"/>
  <c r="V35" i="5"/>
  <c r="W35" i="5"/>
  <c r="X35" i="5"/>
  <c r="Y35" i="5"/>
  <c r="Z35" i="5"/>
  <c r="AA35" i="5"/>
  <c r="AB35" i="5"/>
  <c r="O36" i="5"/>
  <c r="P36" i="5"/>
  <c r="Q36" i="5"/>
  <c r="R36" i="5"/>
  <c r="S36" i="5"/>
  <c r="T36" i="5"/>
  <c r="U36" i="5"/>
  <c r="V36" i="5"/>
  <c r="W36" i="5"/>
  <c r="X36" i="5"/>
  <c r="Y36" i="5"/>
  <c r="Z36" i="5"/>
  <c r="AA36" i="5"/>
  <c r="AB36" i="5"/>
  <c r="O37" i="5"/>
  <c r="P37" i="5"/>
  <c r="Q37" i="5"/>
  <c r="R37" i="5"/>
  <c r="S37" i="5"/>
  <c r="T37" i="5"/>
  <c r="U37" i="5"/>
  <c r="V37" i="5"/>
  <c r="W37" i="5"/>
  <c r="X37" i="5"/>
  <c r="Y37" i="5"/>
  <c r="Z37" i="5"/>
  <c r="AA37" i="5"/>
  <c r="AB37" i="5"/>
  <c r="O38" i="5"/>
  <c r="P38" i="5"/>
  <c r="Q38" i="5"/>
  <c r="R38" i="5"/>
  <c r="S38" i="5"/>
  <c r="T38" i="5"/>
  <c r="U38" i="5"/>
  <c r="V38" i="5"/>
  <c r="W38" i="5"/>
  <c r="X38" i="5"/>
  <c r="Y38" i="5"/>
  <c r="Z38" i="5"/>
  <c r="AA38" i="5"/>
  <c r="AB38" i="5"/>
  <c r="O39" i="5"/>
  <c r="P39" i="5"/>
  <c r="Q39" i="5"/>
  <c r="R39" i="5"/>
  <c r="S39" i="5"/>
  <c r="T39" i="5"/>
  <c r="U39" i="5"/>
  <c r="V39" i="5"/>
  <c r="W39" i="5"/>
  <c r="X39" i="5"/>
  <c r="Y39" i="5"/>
  <c r="Z39" i="5"/>
  <c r="AA39" i="5"/>
  <c r="AB39" i="5"/>
  <c r="O40" i="5"/>
  <c r="P40" i="5"/>
  <c r="Q40" i="5"/>
  <c r="R40" i="5"/>
  <c r="S40" i="5"/>
  <c r="T40" i="5"/>
  <c r="U40" i="5"/>
  <c r="V40" i="5"/>
  <c r="W40" i="5"/>
  <c r="X40" i="5"/>
  <c r="Y40" i="5"/>
  <c r="Z40" i="5"/>
  <c r="AA40" i="5"/>
  <c r="AB40" i="5"/>
  <c r="O41" i="5"/>
  <c r="P41" i="5"/>
  <c r="Q41" i="5"/>
  <c r="R41" i="5"/>
  <c r="S41" i="5"/>
  <c r="T41" i="5"/>
  <c r="U41" i="5"/>
  <c r="V41" i="5"/>
  <c r="W41" i="5"/>
  <c r="X41" i="5"/>
  <c r="Y41" i="5"/>
  <c r="Z41" i="5"/>
  <c r="AA41" i="5"/>
  <c r="AB41" i="5"/>
  <c r="O42" i="5"/>
  <c r="P42" i="5"/>
  <c r="Q42" i="5"/>
  <c r="R42" i="5"/>
  <c r="S42" i="5"/>
  <c r="T42" i="5"/>
  <c r="U42" i="5"/>
  <c r="V42" i="5"/>
  <c r="W42" i="5"/>
  <c r="X42" i="5"/>
  <c r="Y42" i="5"/>
  <c r="Z42" i="5"/>
  <c r="AA42" i="5"/>
  <c r="AB42" i="5"/>
  <c r="O43" i="5"/>
  <c r="P43" i="5"/>
  <c r="Q43" i="5"/>
  <c r="R43" i="5"/>
  <c r="S43" i="5"/>
  <c r="T43" i="5"/>
  <c r="U43" i="5"/>
  <c r="V43" i="5"/>
  <c r="W43" i="5"/>
  <c r="X43" i="5"/>
  <c r="Y43" i="5"/>
  <c r="Z43" i="5"/>
  <c r="AA43" i="5"/>
  <c r="AB43" i="5"/>
  <c r="O44" i="5"/>
  <c r="P44" i="5"/>
  <c r="Q44" i="5"/>
  <c r="R44" i="5"/>
  <c r="S44" i="5"/>
  <c r="T44" i="5"/>
  <c r="U44" i="5"/>
  <c r="V44" i="5"/>
  <c r="W44" i="5"/>
  <c r="X44" i="5"/>
  <c r="Y44" i="5"/>
  <c r="Z44" i="5"/>
  <c r="AA44" i="5"/>
  <c r="AB44" i="5"/>
  <c r="O45" i="5"/>
  <c r="P45" i="5"/>
  <c r="Q45" i="5"/>
  <c r="R45" i="5"/>
  <c r="S45" i="5"/>
  <c r="T45" i="5"/>
  <c r="U45" i="5"/>
  <c r="V45" i="5"/>
  <c r="W45" i="5"/>
  <c r="X45" i="5"/>
  <c r="Y45" i="5"/>
  <c r="Z45" i="5"/>
  <c r="AA45" i="5"/>
  <c r="AB45" i="5"/>
  <c r="P31" i="5"/>
  <c r="Q31" i="5"/>
  <c r="R31" i="5"/>
  <c r="S31" i="5"/>
  <c r="T31" i="5"/>
  <c r="U31" i="5"/>
  <c r="V31" i="5"/>
  <c r="W31" i="5"/>
  <c r="X31" i="5"/>
  <c r="Y31" i="5"/>
  <c r="Z31" i="5"/>
  <c r="AA31" i="5"/>
  <c r="AB31" i="5"/>
  <c r="N31" i="5"/>
  <c r="O28" i="5"/>
  <c r="P28" i="5"/>
  <c r="Q28" i="5"/>
  <c r="R28" i="5"/>
  <c r="S28" i="5"/>
  <c r="T28" i="5"/>
  <c r="U28" i="5"/>
  <c r="V28" i="5"/>
  <c r="W28" i="5"/>
  <c r="X28" i="5"/>
  <c r="Y28" i="5"/>
  <c r="Z28" i="5"/>
  <c r="AA28" i="5"/>
  <c r="AB28" i="5"/>
  <c r="O15" i="5"/>
  <c r="P15" i="5"/>
  <c r="Q15" i="5"/>
  <c r="R15" i="5"/>
  <c r="S15" i="5"/>
  <c r="T15" i="5"/>
  <c r="U15" i="5"/>
  <c r="V15" i="5"/>
  <c r="W15" i="5"/>
  <c r="X15" i="5"/>
  <c r="Y15" i="5"/>
  <c r="Z15" i="5"/>
  <c r="AA15" i="5"/>
  <c r="AB15" i="5"/>
  <c r="O16" i="5"/>
  <c r="P16" i="5"/>
  <c r="Q16" i="5"/>
  <c r="R16" i="5"/>
  <c r="S16" i="5"/>
  <c r="T16" i="5"/>
  <c r="U16" i="5"/>
  <c r="V16" i="5"/>
  <c r="W16" i="5"/>
  <c r="X16" i="5"/>
  <c r="Y16" i="5"/>
  <c r="Z16" i="5"/>
  <c r="AA16" i="5"/>
  <c r="AB16" i="5"/>
  <c r="O17" i="5"/>
  <c r="P17" i="5"/>
  <c r="Q17" i="5"/>
  <c r="R17" i="5"/>
  <c r="S17" i="5"/>
  <c r="T17" i="5"/>
  <c r="U17" i="5"/>
  <c r="V17" i="5"/>
  <c r="W17" i="5"/>
  <c r="X17" i="5"/>
  <c r="Y17" i="5"/>
  <c r="Z17" i="5"/>
  <c r="AA17" i="5"/>
  <c r="AB17" i="5"/>
  <c r="O18" i="5"/>
  <c r="P18" i="5"/>
  <c r="Q18" i="5"/>
  <c r="R18" i="5"/>
  <c r="S18" i="5"/>
  <c r="T18" i="5"/>
  <c r="U18" i="5"/>
  <c r="V18" i="5"/>
  <c r="W18" i="5"/>
  <c r="X18" i="5"/>
  <c r="Y18" i="5"/>
  <c r="Z18" i="5"/>
  <c r="AA18" i="5"/>
  <c r="AB18" i="5"/>
  <c r="O19" i="5"/>
  <c r="P19" i="5"/>
  <c r="Q19" i="5"/>
  <c r="R19" i="5"/>
  <c r="S19" i="5"/>
  <c r="T19" i="5"/>
  <c r="U19" i="5"/>
  <c r="V19" i="5"/>
  <c r="W19" i="5"/>
  <c r="X19" i="5"/>
  <c r="Y19" i="5"/>
  <c r="Z19" i="5"/>
  <c r="AA19" i="5"/>
  <c r="AB19" i="5"/>
  <c r="O20" i="5"/>
  <c r="P20" i="5"/>
  <c r="Q20" i="5"/>
  <c r="R20" i="5"/>
  <c r="S20" i="5"/>
  <c r="T20" i="5"/>
  <c r="U20" i="5"/>
  <c r="V20" i="5"/>
  <c r="W20" i="5"/>
  <c r="X20" i="5"/>
  <c r="Y20" i="5"/>
  <c r="Z20" i="5"/>
  <c r="AA20" i="5"/>
  <c r="AB20" i="5"/>
  <c r="O21" i="5"/>
  <c r="P21" i="5"/>
  <c r="Q21" i="5"/>
  <c r="R21" i="5"/>
  <c r="S21" i="5"/>
  <c r="T21" i="5"/>
  <c r="U21" i="5"/>
  <c r="V21" i="5"/>
  <c r="W21" i="5"/>
  <c r="X21" i="5"/>
  <c r="Y21" i="5"/>
  <c r="Z21" i="5"/>
  <c r="AA21" i="5"/>
  <c r="AB21" i="5"/>
  <c r="O22" i="5"/>
  <c r="P22" i="5"/>
  <c r="Q22" i="5"/>
  <c r="R22" i="5"/>
  <c r="S22" i="5"/>
  <c r="T22" i="5"/>
  <c r="U22" i="5"/>
  <c r="V22" i="5"/>
  <c r="W22" i="5"/>
  <c r="X22" i="5"/>
  <c r="Y22" i="5"/>
  <c r="Z22" i="5"/>
  <c r="AA22" i="5"/>
  <c r="AB22" i="5"/>
  <c r="O23" i="5"/>
  <c r="P23" i="5"/>
  <c r="Q23" i="5"/>
  <c r="R23" i="5"/>
  <c r="S23" i="5"/>
  <c r="T23" i="5"/>
  <c r="U23" i="5"/>
  <c r="V23" i="5"/>
  <c r="W23" i="5"/>
  <c r="X23" i="5"/>
  <c r="Y23" i="5"/>
  <c r="Z23" i="5"/>
  <c r="AA23" i="5"/>
  <c r="AB23" i="5"/>
  <c r="O24" i="5"/>
  <c r="P24" i="5"/>
  <c r="Q24" i="5"/>
  <c r="R24" i="5"/>
  <c r="S24" i="5"/>
  <c r="T24" i="5"/>
  <c r="U24" i="5"/>
  <c r="V24" i="5"/>
  <c r="W24" i="5"/>
  <c r="X24" i="5"/>
  <c r="Y24" i="5"/>
  <c r="Z24" i="5"/>
  <c r="AA24" i="5"/>
  <c r="AB24" i="5"/>
  <c r="O25" i="5"/>
  <c r="P25" i="5"/>
  <c r="Q25" i="5"/>
  <c r="R25" i="5"/>
  <c r="S25" i="5"/>
  <c r="T25" i="5"/>
  <c r="U25" i="5"/>
  <c r="V25" i="5"/>
  <c r="W25" i="5"/>
  <c r="X25" i="5"/>
  <c r="Y25" i="5"/>
  <c r="Z25" i="5"/>
  <c r="AA25" i="5"/>
  <c r="AB25" i="5"/>
  <c r="O26" i="5"/>
  <c r="P26" i="5"/>
  <c r="Q26" i="5"/>
  <c r="R26" i="5"/>
  <c r="S26" i="5"/>
  <c r="T26" i="5"/>
  <c r="U26" i="5"/>
  <c r="V26" i="5"/>
  <c r="W26" i="5"/>
  <c r="X26" i="5"/>
  <c r="Y26" i="5"/>
  <c r="Z26" i="5"/>
  <c r="AA26" i="5"/>
  <c r="AB26" i="5"/>
  <c r="O27" i="5"/>
  <c r="P27" i="5"/>
  <c r="Q27" i="5"/>
  <c r="R27" i="5"/>
  <c r="S27" i="5"/>
  <c r="T27" i="5"/>
  <c r="U27" i="5"/>
  <c r="V27" i="5"/>
  <c r="W27" i="5"/>
  <c r="X27" i="5"/>
  <c r="Y27" i="5"/>
  <c r="Z27" i="5"/>
  <c r="AA27" i="5"/>
  <c r="AB27" i="5"/>
  <c r="P14" i="5"/>
  <c r="Q14" i="5"/>
  <c r="R14" i="5"/>
  <c r="S14" i="5"/>
  <c r="T14" i="5"/>
  <c r="U14" i="5"/>
  <c r="V14" i="5"/>
  <c r="W14" i="5"/>
  <c r="X14" i="5"/>
  <c r="Y14" i="5"/>
  <c r="Z14" i="5"/>
  <c r="AA14" i="5"/>
  <c r="AB14" i="5"/>
  <c r="N14" i="5"/>
  <c r="G63" i="2" l="1"/>
  <c r="H63" i="2"/>
  <c r="I63" i="2"/>
  <c r="J63" i="2"/>
  <c r="F63" i="2"/>
  <c r="G62" i="2"/>
  <c r="H62" i="2"/>
  <c r="I62" i="2"/>
  <c r="J62" i="2"/>
  <c r="F62" i="2"/>
  <c r="G61" i="2"/>
  <c r="H61" i="2"/>
  <c r="I61" i="2"/>
  <c r="J61" i="2"/>
  <c r="F61" i="2"/>
  <c r="G60" i="2"/>
  <c r="H60" i="2"/>
  <c r="I60" i="2"/>
  <c r="J60" i="2"/>
  <c r="F60" i="2"/>
  <c r="G59" i="2"/>
  <c r="H59" i="2"/>
  <c r="I59" i="2"/>
  <c r="J59" i="2"/>
  <c r="F59" i="2"/>
  <c r="G57" i="2"/>
  <c r="H57" i="2"/>
  <c r="I57" i="2"/>
  <c r="J57" i="2"/>
  <c r="F57" i="2"/>
  <c r="F55" i="2"/>
  <c r="H51" i="2"/>
  <c r="E51" i="2"/>
  <c r="I51" i="2" s="1"/>
  <c r="E50" i="2"/>
  <c r="I50" i="2" s="1"/>
  <c r="E49" i="2"/>
  <c r="I49" i="2" s="1"/>
  <c r="E48" i="2"/>
  <c r="H48" i="2" s="1"/>
  <c r="D48" i="2"/>
  <c r="H58" i="2" s="1"/>
  <c r="F47" i="2"/>
  <c r="C42" i="4" s="1"/>
  <c r="E47" i="2"/>
  <c r="F46" i="2"/>
  <c r="C41" i="4" s="1"/>
  <c r="G46" i="2"/>
  <c r="H46" i="2"/>
  <c r="I46" i="2"/>
  <c r="J46" i="2"/>
  <c r="E46" i="2"/>
  <c r="J45" i="2"/>
  <c r="H45" i="2"/>
  <c r="I45" i="2"/>
  <c r="G45" i="2"/>
  <c r="F45" i="2"/>
  <c r="H44" i="2"/>
  <c r="I44" i="2"/>
  <c r="J44" i="2"/>
  <c r="G44" i="2"/>
  <c r="F44" i="2"/>
  <c r="C40" i="4" s="1"/>
  <c r="H42" i="2"/>
  <c r="I42" i="2"/>
  <c r="J42" i="2"/>
  <c r="G42" i="2"/>
  <c r="F42" i="2"/>
  <c r="H41" i="2"/>
  <c r="I41" i="2"/>
  <c r="J41" i="2"/>
  <c r="G41" i="2"/>
  <c r="F41" i="2"/>
  <c r="H40" i="2"/>
  <c r="I40" i="2"/>
  <c r="J40" i="2"/>
  <c r="G40" i="2"/>
  <c r="F40" i="2"/>
  <c r="C39" i="4" s="1"/>
  <c r="E51" i="3"/>
  <c r="F51" i="3" s="1"/>
  <c r="H51" i="3" s="1"/>
  <c r="E52" i="3"/>
  <c r="F52" i="3" s="1"/>
  <c r="H52" i="3" s="1"/>
  <c r="E50" i="3"/>
  <c r="F50" i="3" s="1"/>
  <c r="H50" i="3" s="1"/>
  <c r="E49" i="3"/>
  <c r="F49" i="3" s="1"/>
  <c r="H49" i="3" s="1"/>
  <c r="H48" i="3"/>
  <c r="H47" i="3"/>
  <c r="F46" i="3"/>
  <c r="H46" i="3" s="1"/>
  <c r="E46" i="3"/>
  <c r="H64" i="2" l="1"/>
  <c r="D49" i="2"/>
  <c r="F49" i="2" s="1"/>
  <c r="G49" i="2"/>
  <c r="I58" i="2"/>
  <c r="I64" i="2" s="1"/>
  <c r="J48" i="2"/>
  <c r="J49" i="2"/>
  <c r="H49" i="2"/>
  <c r="G48" i="2"/>
  <c r="H50" i="2"/>
  <c r="D50" i="2"/>
  <c r="F50" i="2" s="1"/>
  <c r="G50" i="2"/>
  <c r="G51" i="2"/>
  <c r="F58" i="2"/>
  <c r="J58" i="2"/>
  <c r="J64" i="2" s="1"/>
  <c r="I48" i="2"/>
  <c r="D51" i="2"/>
  <c r="F51" i="2" s="1"/>
  <c r="J50" i="2"/>
  <c r="J51" i="2"/>
  <c r="G58" i="2"/>
  <c r="G64" i="2" s="1"/>
  <c r="F48" i="2"/>
  <c r="H32" i="3"/>
  <c r="F38" i="2" s="1"/>
  <c r="H42" i="3"/>
  <c r="H41" i="3"/>
  <c r="H40" i="3"/>
  <c r="H39" i="3"/>
  <c r="H38" i="3"/>
  <c r="G42" i="3"/>
  <c r="G41" i="3"/>
  <c r="G40" i="3"/>
  <c r="G39" i="3"/>
  <c r="G38" i="3"/>
  <c r="H36" i="3"/>
  <c r="J38" i="2" s="1"/>
  <c r="H35" i="3"/>
  <c r="I38" i="2" s="1"/>
  <c r="H34" i="3"/>
  <c r="H38" i="2" s="1"/>
  <c r="H33" i="3"/>
  <c r="G38" i="2" s="1"/>
  <c r="G36" i="3"/>
  <c r="J39" i="2" s="1"/>
  <c r="G35" i="3"/>
  <c r="I39" i="2" s="1"/>
  <c r="G34" i="3"/>
  <c r="H39" i="2" s="1"/>
  <c r="G33" i="3"/>
  <c r="G39" i="2" s="1"/>
  <c r="G32" i="3"/>
  <c r="F39" i="2" s="1"/>
  <c r="G32" i="2"/>
  <c r="H32" i="2"/>
  <c r="I32" i="2"/>
  <c r="J32" i="2"/>
  <c r="F32" i="2"/>
  <c r="G31" i="2"/>
  <c r="H31" i="2"/>
  <c r="I31" i="2"/>
  <c r="J31" i="2"/>
  <c r="F31" i="2"/>
  <c r="G30" i="2"/>
  <c r="H30" i="2"/>
  <c r="I30" i="2"/>
  <c r="J30" i="2"/>
  <c r="F30" i="2"/>
  <c r="E29" i="2"/>
  <c r="I29" i="2" s="1"/>
  <c r="D20" i="3"/>
  <c r="D21" i="3"/>
  <c r="D22" i="3"/>
  <c r="D23" i="3"/>
  <c r="D19" i="3"/>
  <c r="D24" i="3" s="1"/>
  <c r="F28" i="2"/>
  <c r="G27" i="2"/>
  <c r="H27" i="2"/>
  <c r="I27" i="2"/>
  <c r="J27" i="2"/>
  <c r="F27" i="2"/>
  <c r="G26" i="2"/>
  <c r="H26" i="2"/>
  <c r="I26" i="2"/>
  <c r="J26" i="2"/>
  <c r="F26" i="2"/>
  <c r="C33" i="4" s="1"/>
  <c r="E25" i="2"/>
  <c r="E24" i="2"/>
  <c r="I15" i="3"/>
  <c r="D25" i="2" s="1"/>
  <c r="I25" i="2" s="1"/>
  <c r="G15" i="3"/>
  <c r="H15" i="3" s="1"/>
  <c r="G14" i="3"/>
  <c r="H14" i="3" s="1"/>
  <c r="D15" i="3"/>
  <c r="D14" i="3"/>
  <c r="I14" i="3" s="1"/>
  <c r="D24" i="2" s="1"/>
  <c r="F21" i="2"/>
  <c r="F20" i="2"/>
  <c r="F64" i="2" l="1"/>
  <c r="C46" i="4" s="1"/>
  <c r="C43" i="4"/>
  <c r="J52" i="2"/>
  <c r="G52" i="2"/>
  <c r="H52" i="2"/>
  <c r="J24" i="2"/>
  <c r="F24" i="2"/>
  <c r="I24" i="2"/>
  <c r="H24" i="2"/>
  <c r="G24" i="2"/>
  <c r="F29" i="2"/>
  <c r="C34" i="4" s="1"/>
  <c r="I52" i="2"/>
  <c r="H25" i="2"/>
  <c r="J29" i="2"/>
  <c r="C38" i="4"/>
  <c r="C44" i="4" s="1"/>
  <c r="F52" i="2"/>
  <c r="F23" i="2"/>
  <c r="F25" i="2"/>
  <c r="G25" i="2"/>
  <c r="G29" i="2"/>
  <c r="J25" i="2"/>
  <c r="H29" i="2"/>
  <c r="F22" i="2"/>
  <c r="D7" i="3"/>
  <c r="D8" i="3"/>
  <c r="D9" i="3"/>
  <c r="D10" i="3"/>
  <c r="D6" i="3"/>
  <c r="C9" i="3"/>
  <c r="B10" i="3"/>
  <c r="C31" i="4" l="1"/>
  <c r="C32" i="4"/>
  <c r="E16" i="2"/>
  <c r="F16" i="2" s="1"/>
  <c r="F19" i="2"/>
  <c r="D40" i="4" l="1"/>
  <c r="D33" i="4"/>
  <c r="D41" i="4"/>
  <c r="D34" i="4"/>
  <c r="D43" i="4"/>
  <c r="D39" i="4"/>
  <c r="D32" i="4"/>
  <c r="D42" i="4"/>
  <c r="D38" i="4"/>
  <c r="D46" i="4"/>
  <c r="C30" i="4"/>
  <c r="C35" i="4" s="1"/>
  <c r="C48" i="4" s="1"/>
  <c r="F34" i="2"/>
  <c r="G21" i="2"/>
  <c r="G20" i="2"/>
  <c r="E8" i="2"/>
  <c r="G19" i="2" s="1"/>
  <c r="G16" i="2"/>
  <c r="D44" i="4" l="1"/>
  <c r="E43" i="4"/>
  <c r="E39" i="4"/>
  <c r="E32" i="4"/>
  <c r="E40" i="4"/>
  <c r="E42" i="4"/>
  <c r="E38" i="4"/>
  <c r="E46" i="4"/>
  <c r="E41" i="4"/>
  <c r="E34" i="4"/>
  <c r="E33" i="4"/>
  <c r="F35" i="2"/>
  <c r="F67" i="2"/>
  <c r="D30" i="4"/>
  <c r="G23" i="2"/>
  <c r="G22" i="2"/>
  <c r="H20" i="2"/>
  <c r="H21" i="2"/>
  <c r="E9" i="2"/>
  <c r="H19" i="2" s="1"/>
  <c r="H16" i="2"/>
  <c r="G34" i="2" l="1"/>
  <c r="G35" i="2" s="1"/>
  <c r="F42" i="4"/>
  <c r="F38" i="4"/>
  <c r="F40" i="4"/>
  <c r="F33" i="4"/>
  <c r="F43" i="4"/>
  <c r="F39" i="4"/>
  <c r="F32" i="4"/>
  <c r="F46" i="4"/>
  <c r="F41" i="4"/>
  <c r="F34" i="4"/>
  <c r="I21" i="2"/>
  <c r="D31" i="4"/>
  <c r="D35" i="4" s="1"/>
  <c r="D48" i="4" s="1"/>
  <c r="E44" i="4"/>
  <c r="E30" i="4"/>
  <c r="C19" i="4"/>
  <c r="C15" i="4"/>
  <c r="C8" i="4"/>
  <c r="C10" i="4"/>
  <c r="C20" i="4"/>
  <c r="C9" i="4"/>
  <c r="C18" i="4"/>
  <c r="C11" i="4"/>
  <c r="C23" i="4"/>
  <c r="C17" i="4"/>
  <c r="C16" i="4"/>
  <c r="F68" i="2"/>
  <c r="C7" i="4"/>
  <c r="H23" i="2"/>
  <c r="H22" i="2"/>
  <c r="I20" i="2"/>
  <c r="I16" i="2"/>
  <c r="E10" i="2"/>
  <c r="I19" i="2" s="1"/>
  <c r="G67" i="2" l="1"/>
  <c r="D23" i="4" s="1"/>
  <c r="H34" i="2"/>
  <c r="H35" i="2" s="1"/>
  <c r="G46" i="4"/>
  <c r="G41" i="4"/>
  <c r="G34" i="4"/>
  <c r="G38" i="4"/>
  <c r="G40" i="4"/>
  <c r="G33" i="4"/>
  <c r="G43" i="4"/>
  <c r="G39" i="4"/>
  <c r="G32" i="4"/>
  <c r="G42" i="4"/>
  <c r="J21" i="2"/>
  <c r="E31" i="4"/>
  <c r="E35" i="4" s="1"/>
  <c r="E48" i="4" s="1"/>
  <c r="F44" i="4"/>
  <c r="F30" i="4"/>
  <c r="O14" i="2"/>
  <c r="O14" i="5" s="1"/>
  <c r="F69" i="2"/>
  <c r="C21" i="4"/>
  <c r="C12" i="4"/>
  <c r="I23" i="2"/>
  <c r="I22" i="2"/>
  <c r="J20" i="2"/>
  <c r="E11" i="2"/>
  <c r="J19" i="2" s="1"/>
  <c r="D8" i="4" l="1"/>
  <c r="D9" i="4"/>
  <c r="D18" i="4"/>
  <c r="D20" i="4"/>
  <c r="D15" i="4"/>
  <c r="D17" i="4"/>
  <c r="D19" i="4"/>
  <c r="D16" i="4"/>
  <c r="D7" i="4"/>
  <c r="D10" i="4"/>
  <c r="G68" i="2"/>
  <c r="G69" i="2" s="1"/>
  <c r="D11" i="4"/>
  <c r="F31" i="4"/>
  <c r="F35" i="4" s="1"/>
  <c r="F48" i="4" s="1"/>
  <c r="H67" i="2"/>
  <c r="E11" i="4" s="1"/>
  <c r="I34" i="2"/>
  <c r="I35" i="2" s="1"/>
  <c r="G44" i="4"/>
  <c r="C25" i="4"/>
  <c r="G30" i="4"/>
  <c r="J23" i="2"/>
  <c r="J22" i="2"/>
  <c r="O31" i="2" l="1"/>
  <c r="O31" i="5" s="1"/>
  <c r="D12" i="4"/>
  <c r="D21" i="4"/>
  <c r="E19" i="4"/>
  <c r="E9" i="4"/>
  <c r="E17" i="4"/>
  <c r="E18" i="4"/>
  <c r="E16" i="4"/>
  <c r="E10" i="4"/>
  <c r="H68" i="2"/>
  <c r="H69" i="2" s="1"/>
  <c r="E8" i="4"/>
  <c r="E23" i="4"/>
  <c r="E20" i="4"/>
  <c r="E7" i="4"/>
  <c r="E15" i="4"/>
  <c r="I67" i="2"/>
  <c r="F10" i="4" s="1"/>
  <c r="J34" i="2"/>
  <c r="J67" i="2" s="1"/>
  <c r="G31" i="4"/>
  <c r="G35" i="4" s="1"/>
  <c r="G48" i="4" s="1"/>
  <c r="D25" i="4" l="1"/>
  <c r="F17" i="4"/>
  <c r="O47" i="2"/>
  <c r="O47" i="5" s="1"/>
  <c r="E12" i="4"/>
  <c r="I68" i="2"/>
  <c r="O64" i="2" s="1"/>
  <c r="O64" i="5" s="1"/>
  <c r="F15" i="4"/>
  <c r="F18" i="4"/>
  <c r="E21" i="4"/>
  <c r="J35" i="2"/>
  <c r="F7" i="4"/>
  <c r="F9" i="4"/>
  <c r="F8" i="4"/>
  <c r="F23" i="4"/>
  <c r="F16" i="4"/>
  <c r="F19" i="4"/>
  <c r="F11" i="4"/>
  <c r="F20" i="4"/>
  <c r="G18" i="4"/>
  <c r="G11" i="4"/>
  <c r="G16" i="4"/>
  <c r="G15" i="4"/>
  <c r="G8" i="4"/>
  <c r="G23" i="4"/>
  <c r="G17" i="4"/>
  <c r="G10" i="4"/>
  <c r="G20" i="4"/>
  <c r="G9" i="4"/>
  <c r="G19" i="4"/>
  <c r="G7" i="4"/>
  <c r="J68" i="2"/>
  <c r="E25" i="4" l="1"/>
  <c r="I69" i="2"/>
  <c r="J69" i="2" s="1"/>
  <c r="F21" i="4"/>
  <c r="F12" i="4"/>
  <c r="O81" i="2"/>
  <c r="O81" i="5" s="1"/>
  <c r="G12" i="4"/>
  <c r="G21" i="4"/>
  <c r="F25" i="4" l="1"/>
  <c r="G25" i="4"/>
</calcChain>
</file>

<file path=xl/sharedStrings.xml><?xml version="1.0" encoding="utf-8"?>
<sst xmlns="http://schemas.openxmlformats.org/spreadsheetml/2006/main" count="285" uniqueCount="192">
  <si>
    <t>GEORGIA 5-YEAR BOTTOM CAGE OYSTER CROP BUDGET</t>
  </si>
  <si>
    <t>For growers marketing ???? To ???? oysters per year</t>
  </si>
  <si>
    <t>February 2021: University of Georgia Marine Extension and Georgia Seagrant</t>
  </si>
  <si>
    <t>Marketing 50,000 up to 1,000,000 oyster per year</t>
  </si>
  <si>
    <t>Item</t>
  </si>
  <si>
    <t>Key Assumptions</t>
  </si>
  <si>
    <t>Year #</t>
  </si>
  <si>
    <t>Oyster Seed Planted</t>
  </si>
  <si>
    <t>Target Annual Oyster Sales</t>
  </si>
  <si>
    <t>Average Market Price</t>
  </si>
  <si>
    <t>Oyster Mortality Rate</t>
  </si>
  <si>
    <t>Increase in Seed per Year (Stocking Density)</t>
  </si>
  <si>
    <t>Year 1</t>
  </si>
  <si>
    <t>Year 2</t>
  </si>
  <si>
    <t>Year 3</t>
  </si>
  <si>
    <t>Year 4</t>
  </si>
  <si>
    <t>Year 5</t>
  </si>
  <si>
    <t>Units</t>
  </si>
  <si>
    <t>Number of Units</t>
  </si>
  <si>
    <t>Price or Cost/Unit</t>
  </si>
  <si>
    <t>1. Gross Revenue</t>
  </si>
  <si>
    <t>Market Oyster Revenue</t>
  </si>
  <si>
    <t>Single Oyster</t>
  </si>
  <si>
    <t>Annual Sales</t>
  </si>
  <si>
    <t>2. Variable Operating Expenses</t>
  </si>
  <si>
    <t>Oyster Seed</t>
  </si>
  <si>
    <t>Total Seed Planted/Unit</t>
  </si>
  <si>
    <t>Full Time Labor</t>
  </si>
  <si>
    <t>Employees (see Line Items)</t>
  </si>
  <si>
    <t>Part Time Labor</t>
  </si>
  <si>
    <t>Hours (2080/employee)</t>
  </si>
  <si>
    <t>Hours (960/employee)</t>
  </si>
  <si>
    <t>Line Item</t>
  </si>
  <si>
    <t>2. Operating Expenses</t>
  </si>
  <si>
    <t>Labor Calculations</t>
  </si>
  <si>
    <t xml:space="preserve">No. Planted </t>
  </si>
  <si>
    <t>no. hrs FT</t>
  </si>
  <si>
    <t>no hrs PT</t>
  </si>
  <si>
    <t xml:space="preserve">Total Number </t>
  </si>
  <si>
    <t>No. Employess</t>
  </si>
  <si>
    <t>1 to 100,000</t>
  </si>
  <si>
    <t>100,000 to 200,000</t>
  </si>
  <si>
    <t>200,000 to 300,000</t>
  </si>
  <si>
    <t>300,000 to 400,000</t>
  </si>
  <si>
    <t>400,000 to 700,000</t>
  </si>
  <si>
    <t>1 part time</t>
  </si>
  <si>
    <t>1 full time</t>
  </si>
  <si>
    <t>1 full time, 1 part time</t>
  </si>
  <si>
    <t>1 full time, 2 part time</t>
  </si>
  <si>
    <t>2 full time, 1 part time</t>
  </si>
  <si>
    <t>Employment Tax(FICA)</t>
  </si>
  <si>
    <t>Taxable Total Wages($)</t>
  </si>
  <si>
    <t>Total Labor Cost</t>
  </si>
  <si>
    <t>Workers Compensation</t>
  </si>
  <si>
    <t>Annual Expenses per $100 of Payroll</t>
  </si>
  <si>
    <t>Total Labor/100</t>
  </si>
  <si>
    <t>Boat Fuel</t>
  </si>
  <si>
    <t>Annual Gallons</t>
  </si>
  <si>
    <t>Fuel Calculations</t>
  </si>
  <si>
    <t>Type</t>
  </si>
  <si>
    <t>Truck Fuel</t>
  </si>
  <si>
    <t>Miles per Week</t>
  </si>
  <si>
    <t>Miles per Gallon</t>
  </si>
  <si>
    <t>Cost per Gallon</t>
  </si>
  <si>
    <t>Weeks per Year</t>
  </si>
  <si>
    <t>Weekly Cost</t>
  </si>
  <si>
    <t>Annual Cost</t>
  </si>
  <si>
    <t>Gallons/week</t>
  </si>
  <si>
    <t>Boat Maintenance</t>
  </si>
  <si>
    <t>Annual</t>
  </si>
  <si>
    <t>Truck Maintenance</t>
  </si>
  <si>
    <t>Expendable Supplies</t>
  </si>
  <si>
    <t>Start up cost</t>
  </si>
  <si>
    <t>Misc. Supplies</t>
  </si>
  <si>
    <t>Per Cage</t>
  </si>
  <si>
    <t>Misc. Equipment Maintenance</t>
  </si>
  <si>
    <t>Ice for summer harvesting</t>
  </si>
  <si>
    <t>Other (office supplies,electricity,etc.)</t>
  </si>
  <si>
    <t>Approx. Cost</t>
  </si>
  <si>
    <t>Number Units</t>
  </si>
  <si>
    <t>Total</t>
  </si>
  <si>
    <t>Bushel Baskets</t>
  </si>
  <si>
    <t>Protective Gear:Gloves, foul weather, etc.</t>
  </si>
  <si>
    <t>Power Washer</t>
  </si>
  <si>
    <t>12 Volt Coolers (warm water harvest)</t>
  </si>
  <si>
    <t>Other Misc. (tags, thermometers,pumps,etc.)</t>
  </si>
  <si>
    <t>TOTAL</t>
  </si>
  <si>
    <t>Includes: cable ties,hog rings,pvc,replacement protective gear (waders,gloves), small tools, replacement baskets or totes</t>
  </si>
  <si>
    <t>Total Operating Expenses</t>
  </si>
  <si>
    <t>Return over Operating Expenses</t>
  </si>
  <si>
    <t>3. Fixed Costs</t>
  </si>
  <si>
    <t>Annual Interest on Truck &amp; Boat Loan</t>
  </si>
  <si>
    <t>Annual Principal on Truck &amp; Boat Loan</t>
  </si>
  <si>
    <t>Sum of 12 monthly payments</t>
  </si>
  <si>
    <t>Fixed Costs</t>
  </si>
  <si>
    <t>Loans</t>
  </si>
  <si>
    <t>Cost/Price</t>
  </si>
  <si>
    <t>% Down Payment</t>
  </si>
  <si>
    <t>PV of Loan Amount</t>
  </si>
  <si>
    <t>APR</t>
  </si>
  <si>
    <t>Period (Yrs)</t>
  </si>
  <si>
    <t>Ann. Principal Pmts.</t>
  </si>
  <si>
    <t>Ann. Interest Pmts.</t>
  </si>
  <si>
    <t>Boat, Motor, Trailer</t>
  </si>
  <si>
    <t>Truck</t>
  </si>
  <si>
    <t>Total Capital Purchases</t>
  </si>
  <si>
    <t>Unit</t>
  </si>
  <si>
    <t>Volume</t>
  </si>
  <si>
    <t>Total Capital Investment</t>
  </si>
  <si>
    <t>Cost Basis</t>
  </si>
  <si>
    <t>Recovery Period (years)</t>
  </si>
  <si>
    <t>Annual Depreciation Expense</t>
  </si>
  <si>
    <t>Davit crane with hand winch hoist</t>
  </si>
  <si>
    <t>Boat</t>
  </si>
  <si>
    <t>Bags 2mm</t>
  </si>
  <si>
    <t>Bags 6mm</t>
  </si>
  <si>
    <t>Bags 14mm</t>
  </si>
  <si>
    <t>Boat Insurance</t>
  </si>
  <si>
    <t>Annual Expense</t>
  </si>
  <si>
    <t>Truck Insurance</t>
  </si>
  <si>
    <t>Business Liability Insurance</t>
  </si>
  <si>
    <t>Annual Expense per $1000 of sales</t>
  </si>
  <si>
    <t>Legal Fees</t>
  </si>
  <si>
    <t>LLC Registration Fee</t>
  </si>
  <si>
    <t>Accounting Fees</t>
  </si>
  <si>
    <t>Business Property Tax (Boat)</t>
  </si>
  <si>
    <t>Hoist - Hand Winch</t>
  </si>
  <si>
    <t>One time startup cost</t>
  </si>
  <si>
    <t>Bags 2MM</t>
  </si>
  <si>
    <t>Bags 6MM</t>
  </si>
  <si>
    <t>Bags 14MM</t>
  </si>
  <si>
    <t>Total Fixed Costs</t>
  </si>
  <si>
    <t>Application Fee (Non-Refundable)</t>
  </si>
  <si>
    <t>Start up cost in year 1</t>
  </si>
  <si>
    <t>per acre</t>
  </si>
  <si>
    <t>Bonding Fee</t>
  </si>
  <si>
    <t>Oyster Aquaculture Cage Fee (GADNR)</t>
  </si>
  <si>
    <t>per cage</t>
  </si>
  <si>
    <t>Oyster Aquaculture Harvester's Permit (GADNR)</t>
  </si>
  <si>
    <t>per person per year (hired labor)</t>
  </si>
  <si>
    <t>Wholesale Fish Dealer (GADNR)</t>
  </si>
  <si>
    <t>Retail Establishment (GADOA - Tier 3)</t>
  </si>
  <si>
    <t>Seafood Dealer License</t>
  </si>
  <si>
    <t>Surveying</t>
  </si>
  <si>
    <t>Total Permitting &amp; Leasing Expenses</t>
  </si>
  <si>
    <t>4. Permitting Costs</t>
  </si>
  <si>
    <t>5. Revenue Estimates</t>
  </si>
  <si>
    <t>Total Annual Expenses</t>
  </si>
  <si>
    <t>Estimated Net Revenue</t>
  </si>
  <si>
    <t>YTD Profit/Loss</t>
  </si>
  <si>
    <t>Expenses as Percentage of Total Cost</t>
  </si>
  <si>
    <t>Percentage of Total Annual Expenses</t>
  </si>
  <si>
    <t>Triploid Oyster Seed</t>
  </si>
  <si>
    <t>Labor (FT&amp;PT, FICA &amp; Workers comp.)</t>
  </si>
  <si>
    <t>Fuel (boat and truck)</t>
  </si>
  <si>
    <t>Maintenance (vehicle and equipment)</t>
  </si>
  <si>
    <t>Loan Payments</t>
  </si>
  <si>
    <t>Insurance (boat,truck,business)</t>
  </si>
  <si>
    <t>Legal &amp; Accounting Fees</t>
  </si>
  <si>
    <t>Business Property Tax (boat)</t>
  </si>
  <si>
    <t>Barge, Motor, Hoist</t>
  </si>
  <si>
    <t>Gear (cages &amp; bags)</t>
  </si>
  <si>
    <t>4. Permitting &amp; Leasing Costs</t>
  </si>
  <si>
    <t>TOTAL COSTS</t>
  </si>
  <si>
    <t>Expenses percentage market oyster</t>
  </si>
  <si>
    <t>Total Costs Per Oyster</t>
  </si>
  <si>
    <t xml:space="preserve">Year 2 </t>
  </si>
  <si>
    <t>Annual Gallons (year 1)</t>
  </si>
  <si>
    <t>Annual Gallons (year 2)</t>
  </si>
  <si>
    <t>Annual Gallons (year 3)</t>
  </si>
  <si>
    <t>Annual Gallons (year 4)</t>
  </si>
  <si>
    <t>Annual Gallons (year 5)</t>
  </si>
  <si>
    <t>Allows boat fuel adjustment to account for additional cages</t>
  </si>
  <si>
    <t>Annual Boat Maintenance</t>
  </si>
  <si>
    <t>Annual Truck Maintenance</t>
  </si>
  <si>
    <t>Legal Fees 1st Year Startup</t>
  </si>
  <si>
    <t>Legal Fees for Years 2 - 5</t>
  </si>
  <si>
    <t>see Line Item Notes</t>
  </si>
  <si>
    <t>Lease Fee (GADNR)</t>
  </si>
  <si>
    <t>Lease Fee per Acre</t>
  </si>
  <si>
    <t>Number of Acres Leased</t>
  </si>
  <si>
    <t>www.ketchamsupply.com</t>
  </si>
  <si>
    <t>(508)997-4787</t>
  </si>
  <si>
    <t>Note: Prices for cages and bags are from Ketcham Supply Co. as of 3/6/21</t>
  </si>
  <si>
    <t>Notes:</t>
  </si>
  <si>
    <t>SINGLE SEED TUMBLER CAGE OYSTER CROP BUDGET</t>
  </si>
  <si>
    <t>March 2021</t>
  </si>
  <si>
    <t>Starting Tumblers</t>
  </si>
  <si>
    <t>Increase in Tumblers per Year</t>
  </si>
  <si>
    <r>
      <t>Number of harvest size oysters per tumbler</t>
    </r>
    <r>
      <rPr>
        <vertAlign val="superscript"/>
        <sz val="11"/>
        <color theme="1"/>
        <rFont val="Calibri"/>
        <family val="2"/>
        <scheme val="minor"/>
      </rPr>
      <t>1</t>
    </r>
  </si>
  <si>
    <t>Number of harvest size oysters per tumbler from Ketcham Suppl for SKU: OTUBE</t>
  </si>
  <si>
    <t>Tumblers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</si>
</sst>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2" formatCode="_(&quot;$&quot;* #,##0_);_(&quot;$&quot;* \(#,##0\);_(&quot;$&quot;* &quot;-&quot;_);_(@_)"/>
    <numFmt numFmtId="44" formatCode="_(&quot;$&quot;* #,##0.00_);_(&quot;$&quot;* \(#,##0.00\);_(&quot;$&quot;* &quot;-&quot;??_);_(@_)"/>
    <numFmt numFmtId="164" formatCode="&quot;$&quot;#,##0.00"/>
    <numFmt numFmtId="165" formatCode="0.0"/>
    <numFmt numFmtId="166" formatCode="&quot;$&quot;#,##0"/>
    <numFmt numFmtId="167" formatCode="&quot;$&quot;#,##0.0"/>
    <numFmt numFmtId="168" formatCode="_(&quot;$&quot;* #,##0.0_);_(&quot;$&quot;* \(#,##0.0\);_(&quot;$&quot;* &quot;-&quot;?_);_(@_)"/>
    <numFmt numFmtId="169" formatCode="&quot;$&quot;#,##0.00;[Red]&quot;$&quot;#,##0.00"/>
    <numFmt numFmtId="170" formatCode="&quot;$&quot;#,##0.000"/>
  </numFmts>
  <fonts count="19" x14ac:knownFonts="1">
    <font>
      <sz val="11"/>
      <color theme="1"/>
      <name val="Calibri"/>
      <family val="2"/>
      <scheme val="minor"/>
    </font>
    <font>
      <b/>
      <sz val="11"/>
      <color theme="1"/>
      <name val="Calibri"/>
      <family val="2"/>
      <scheme val="minor"/>
    </font>
    <font>
      <b/>
      <sz val="16"/>
      <color theme="1"/>
      <name val="Calibri"/>
      <family val="2"/>
      <scheme val="minor"/>
    </font>
    <font>
      <b/>
      <i/>
      <sz val="11"/>
      <color theme="1"/>
      <name val="Calibri"/>
      <family val="2"/>
      <scheme val="minor"/>
    </font>
    <font>
      <b/>
      <sz val="11"/>
      <color theme="0"/>
      <name val="Calibri"/>
      <family val="2"/>
      <scheme val="minor"/>
    </font>
    <font>
      <sz val="11"/>
      <color theme="0"/>
      <name val="Calibri"/>
      <family val="2"/>
      <scheme val="minor"/>
    </font>
    <font>
      <b/>
      <sz val="16"/>
      <color theme="0"/>
      <name val="Calibri"/>
      <family val="2"/>
      <scheme val="minor"/>
    </font>
    <font>
      <sz val="14"/>
      <color theme="0"/>
      <name val="Calibri"/>
      <family val="2"/>
      <scheme val="minor"/>
    </font>
    <font>
      <b/>
      <sz val="11"/>
      <color rgb="FFFF0000"/>
      <name val="Calibri"/>
      <family val="2"/>
      <scheme val="minor"/>
    </font>
    <font>
      <sz val="8"/>
      <color theme="1"/>
      <name val="Calibri"/>
      <family val="2"/>
      <scheme val="minor"/>
    </font>
    <font>
      <sz val="9"/>
      <color theme="1"/>
      <name val="Calibri"/>
      <family val="2"/>
      <scheme val="minor"/>
    </font>
    <font>
      <sz val="10"/>
      <color theme="1"/>
      <name val="Arial"/>
      <family val="2"/>
    </font>
    <font>
      <i/>
      <sz val="10"/>
      <color theme="1"/>
      <name val="Arial"/>
      <family val="2"/>
    </font>
    <font>
      <sz val="11"/>
      <color rgb="FFFF0000"/>
      <name val="Calibri"/>
      <family val="2"/>
      <scheme val="minor"/>
    </font>
    <font>
      <b/>
      <sz val="10"/>
      <color theme="1"/>
      <name val="Arial"/>
      <family val="2"/>
    </font>
    <font>
      <sz val="18"/>
      <color theme="1"/>
      <name val="Calibri"/>
      <family val="2"/>
      <scheme val="minor"/>
    </font>
    <font>
      <sz val="11"/>
      <name val="Calibri"/>
      <family val="2"/>
      <scheme val="minor"/>
    </font>
    <font>
      <u/>
      <sz val="11"/>
      <color theme="10"/>
      <name val="Calibri"/>
      <family val="2"/>
      <scheme val="minor"/>
    </font>
    <font>
      <vertAlign val="superscript"/>
      <sz val="11"/>
      <color theme="1"/>
      <name val="Calibri"/>
      <family val="2"/>
      <scheme val="minor"/>
    </font>
  </fonts>
  <fills count="22">
    <fill>
      <patternFill patternType="none"/>
    </fill>
    <fill>
      <patternFill patternType="gray125"/>
    </fill>
    <fill>
      <patternFill patternType="solid">
        <fgColor theme="1"/>
        <bgColor indexed="64"/>
      </patternFill>
    </fill>
    <fill>
      <patternFill patternType="solid">
        <fgColor rgb="FFFF000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5"/>
        <bgColor indexed="64"/>
      </patternFill>
    </fill>
    <fill>
      <patternFill patternType="solid">
        <fgColor rgb="FFFFFF00"/>
        <bgColor indexed="64"/>
      </patternFill>
    </fill>
  </fills>
  <borders count="11">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17" fillId="0" borderId="0" applyNumberFormat="0" applyFill="0" applyBorder="0" applyAlignment="0" applyProtection="0"/>
  </cellStyleXfs>
  <cellXfs count="127">
    <xf numFmtId="0" fontId="0" fillId="0" borderId="0" xfId="0"/>
    <xf numFmtId="0" fontId="2" fillId="0" borderId="0" xfId="0" applyFont="1"/>
    <xf numFmtId="0" fontId="3" fillId="0" borderId="0" xfId="0" applyFont="1"/>
    <xf numFmtId="0" fontId="1" fillId="0" borderId="0" xfId="0" applyFont="1"/>
    <xf numFmtId="0" fontId="0" fillId="2" borderId="0" xfId="0" applyFill="1"/>
    <xf numFmtId="0" fontId="5" fillId="2" borderId="0" xfId="0" applyFont="1" applyFill="1"/>
    <xf numFmtId="0" fontId="6" fillId="2" borderId="0" xfId="0" applyFont="1" applyFill="1"/>
    <xf numFmtId="0" fontId="7" fillId="2" borderId="0" xfId="0" applyFont="1" applyFill="1"/>
    <xf numFmtId="49" fontId="5" fillId="2" borderId="0" xfId="0" applyNumberFormat="1" applyFont="1" applyFill="1"/>
    <xf numFmtId="0" fontId="0" fillId="4" borderId="0" xfId="0" applyFill="1" applyAlignment="1">
      <alignment horizontal="center"/>
    </xf>
    <xf numFmtId="0" fontId="0" fillId="4" borderId="0" xfId="0" applyFill="1"/>
    <xf numFmtId="3" fontId="0" fillId="4" borderId="0" xfId="0" applyNumberFormat="1" applyFill="1"/>
    <xf numFmtId="0" fontId="8" fillId="4" borderId="0" xfId="0" applyFont="1" applyFill="1" applyAlignment="1">
      <alignment horizontal="center"/>
    </xf>
    <xf numFmtId="0" fontId="1" fillId="4" borderId="0" xfId="0" applyFont="1" applyFill="1" applyAlignment="1">
      <alignment horizontal="center"/>
    </xf>
    <xf numFmtId="164" fontId="4" fillId="3" borderId="0" xfId="0" applyNumberFormat="1" applyFont="1" applyFill="1"/>
    <xf numFmtId="9" fontId="4" fillId="3" borderId="0" xfId="0" applyNumberFormat="1" applyFont="1" applyFill="1"/>
    <xf numFmtId="0" fontId="4" fillId="3" borderId="0" xfId="0" applyFont="1" applyFill="1"/>
    <xf numFmtId="0" fontId="1" fillId="0" borderId="0" xfId="0" applyFont="1" applyFill="1" applyAlignment="1">
      <alignment horizontal="center"/>
    </xf>
    <xf numFmtId="0" fontId="1" fillId="0" borderId="0" xfId="0" applyFont="1" applyAlignment="1">
      <alignment horizontal="center"/>
    </xf>
    <xf numFmtId="0" fontId="1" fillId="5" borderId="0" xfId="0" applyFont="1" applyFill="1"/>
    <xf numFmtId="0" fontId="0" fillId="5" borderId="0" xfId="0" applyFill="1"/>
    <xf numFmtId="164" fontId="0" fillId="5" borderId="0" xfId="0" applyNumberFormat="1" applyFill="1"/>
    <xf numFmtId="0" fontId="1" fillId="6" borderId="0" xfId="0" applyFont="1" applyFill="1"/>
    <xf numFmtId="0" fontId="0" fillId="6" borderId="0" xfId="0" applyFill="1"/>
    <xf numFmtId="164" fontId="0" fillId="0" borderId="0" xfId="0" applyNumberFormat="1"/>
    <xf numFmtId="3" fontId="0" fillId="6" borderId="0" xfId="0" applyNumberFormat="1" applyFill="1"/>
    <xf numFmtId="0" fontId="10" fillId="6" borderId="0" xfId="0" applyFont="1" applyFill="1"/>
    <xf numFmtId="164" fontId="0" fillId="6" borderId="0" xfId="0" applyNumberFormat="1" applyFill="1"/>
    <xf numFmtId="0" fontId="0" fillId="7" borderId="0" xfId="0" applyFill="1"/>
    <xf numFmtId="164" fontId="0" fillId="7" borderId="0" xfId="0" applyNumberFormat="1" applyFill="1"/>
    <xf numFmtId="0" fontId="9" fillId="6" borderId="0" xfId="0" applyFont="1" applyFill="1"/>
    <xf numFmtId="44" fontId="0" fillId="6" borderId="0" xfId="0" applyNumberFormat="1" applyFill="1"/>
    <xf numFmtId="0" fontId="0" fillId="6" borderId="0" xfId="0" applyFont="1" applyFill="1"/>
    <xf numFmtId="10" fontId="0" fillId="6" borderId="0" xfId="0" applyNumberFormat="1" applyFill="1"/>
    <xf numFmtId="0" fontId="0" fillId="6" borderId="0" xfId="0" applyFill="1" applyAlignment="1">
      <alignment horizontal="center"/>
    </xf>
    <xf numFmtId="0" fontId="14" fillId="0" borderId="0" xfId="0" applyFont="1" applyFill="1" applyBorder="1" applyAlignment="1" applyProtection="1">
      <alignment horizontal="left"/>
      <protection locked="0"/>
    </xf>
    <xf numFmtId="0" fontId="14" fillId="0" borderId="0" xfId="0" applyFont="1" applyFill="1" applyBorder="1" applyAlignment="1" applyProtection="1">
      <alignment horizontal="center"/>
      <protection locked="0"/>
    </xf>
    <xf numFmtId="4" fontId="0" fillId="6" borderId="0" xfId="0" applyNumberFormat="1" applyFill="1"/>
    <xf numFmtId="0" fontId="13" fillId="0" borderId="0" xfId="0" applyFont="1"/>
    <xf numFmtId="165" fontId="0" fillId="6" borderId="0" xfId="0" applyNumberFormat="1" applyFill="1"/>
    <xf numFmtId="166" fontId="0" fillId="6" borderId="0" xfId="0" applyNumberFormat="1" applyFill="1"/>
    <xf numFmtId="167" fontId="0" fillId="6" borderId="0" xfId="0" applyNumberFormat="1" applyFill="1"/>
    <xf numFmtId="0" fontId="0" fillId="9" borderId="1" xfId="0" applyFill="1" applyBorder="1" applyProtection="1">
      <protection locked="0"/>
    </xf>
    <xf numFmtId="0" fontId="0" fillId="9" borderId="2" xfId="0" applyFill="1" applyBorder="1" applyProtection="1">
      <protection locked="0"/>
    </xf>
    <xf numFmtId="0" fontId="0" fillId="9" borderId="3" xfId="0" applyFill="1" applyBorder="1" applyProtection="1">
      <protection locked="0"/>
    </xf>
    <xf numFmtId="0" fontId="0" fillId="9" borderId="4" xfId="0" applyFill="1" applyBorder="1" applyProtection="1">
      <protection locked="0"/>
    </xf>
    <xf numFmtId="0" fontId="11" fillId="9" borderId="5" xfId="0" applyFont="1" applyFill="1" applyBorder="1" applyAlignment="1" applyProtection="1">
      <alignment horizontal="right"/>
      <protection locked="0"/>
    </xf>
    <xf numFmtId="0" fontId="0" fillId="9" borderId="0" xfId="0" applyFill="1"/>
    <xf numFmtId="0" fontId="12" fillId="9" borderId="7" xfId="0" applyFont="1" applyFill="1" applyBorder="1" applyAlignment="1" applyProtection="1">
      <alignment horizontal="right"/>
      <protection locked="0"/>
    </xf>
    <xf numFmtId="0" fontId="12" fillId="9" borderId="9" xfId="0" applyFont="1" applyFill="1" applyBorder="1" applyAlignment="1" applyProtection="1">
      <alignment horizontal="right"/>
      <protection locked="0"/>
    </xf>
    <xf numFmtId="0" fontId="11" fillId="9" borderId="6" xfId="0" applyFont="1" applyFill="1" applyBorder="1" applyAlignment="1" applyProtection="1">
      <alignment horizontal="right"/>
      <protection locked="0"/>
    </xf>
    <xf numFmtId="0" fontId="12" fillId="9" borderId="8" xfId="0" applyFont="1" applyFill="1" applyBorder="1" applyAlignment="1" applyProtection="1">
      <alignment horizontal="right"/>
      <protection locked="0"/>
    </xf>
    <xf numFmtId="0" fontId="12" fillId="9" borderId="10" xfId="0" applyFont="1" applyFill="1" applyBorder="1" applyAlignment="1" applyProtection="1">
      <alignment horizontal="right"/>
      <protection locked="0"/>
    </xf>
    <xf numFmtId="0" fontId="11" fillId="10" borderId="0" xfId="0" applyFont="1" applyFill="1" applyBorder="1" applyAlignment="1" applyProtection="1">
      <alignment horizontal="left"/>
      <protection locked="0"/>
    </xf>
    <xf numFmtId="0" fontId="0" fillId="10" borderId="0" xfId="0" applyFill="1" applyAlignment="1">
      <alignment horizontal="center"/>
    </xf>
    <xf numFmtId="0" fontId="11" fillId="10" borderId="0" xfId="0" applyFont="1" applyFill="1" applyBorder="1" applyAlignment="1" applyProtection="1">
      <alignment horizontal="center"/>
      <protection locked="0"/>
    </xf>
    <xf numFmtId="0" fontId="0" fillId="10" borderId="0" xfId="0" applyFill="1"/>
    <xf numFmtId="1" fontId="0" fillId="10" borderId="0" xfId="0" applyNumberFormat="1" applyFill="1"/>
    <xf numFmtId="164" fontId="0" fillId="10" borderId="0" xfId="0" applyNumberFormat="1" applyFill="1"/>
    <xf numFmtId="3" fontId="0" fillId="10" borderId="0" xfId="0" applyNumberFormat="1" applyFill="1"/>
    <xf numFmtId="0" fontId="11" fillId="8" borderId="0" xfId="0" applyFont="1" applyFill="1" applyBorder="1" applyAlignment="1" applyProtection="1">
      <alignment horizontal="left"/>
      <protection locked="0"/>
    </xf>
    <xf numFmtId="0" fontId="0" fillId="8" borderId="0" xfId="0" applyFill="1"/>
    <xf numFmtId="164" fontId="0" fillId="8" borderId="0" xfId="0" applyNumberFormat="1" applyFill="1"/>
    <xf numFmtId="0" fontId="14" fillId="8" borderId="0" xfId="0" applyFont="1" applyFill="1" applyBorder="1" applyAlignment="1" applyProtection="1">
      <alignment horizontal="left"/>
      <protection locked="0"/>
    </xf>
    <xf numFmtId="164" fontId="1" fillId="8" borderId="0" xfId="0" applyNumberFormat="1" applyFont="1" applyFill="1"/>
    <xf numFmtId="166" fontId="0" fillId="7" borderId="0" xfId="0" applyNumberFormat="1" applyFill="1"/>
    <xf numFmtId="0" fontId="0" fillId="11" borderId="0" xfId="0" applyFill="1" applyAlignment="1">
      <alignment wrapText="1"/>
    </xf>
    <xf numFmtId="166" fontId="0" fillId="11" borderId="0" xfId="0" applyNumberFormat="1" applyFill="1"/>
    <xf numFmtId="168" fontId="0" fillId="6" borderId="0" xfId="0" applyNumberFormat="1" applyFill="1"/>
    <xf numFmtId="42" fontId="0" fillId="6" borderId="0" xfId="0" applyNumberFormat="1" applyFill="1"/>
    <xf numFmtId="9" fontId="0" fillId="10" borderId="0" xfId="0" applyNumberFormat="1" applyFill="1"/>
    <xf numFmtId="0" fontId="0" fillId="0" borderId="0" xfId="0" applyFill="1"/>
    <xf numFmtId="0" fontId="0" fillId="12" borderId="0" xfId="0" applyFill="1"/>
    <xf numFmtId="0" fontId="1" fillId="12" borderId="0" xfId="0" applyFont="1" applyFill="1"/>
    <xf numFmtId="0" fontId="0" fillId="7" borderId="0" xfId="0" applyFill="1" applyAlignment="1">
      <alignment horizontal="center"/>
    </xf>
    <xf numFmtId="169" fontId="0" fillId="7" borderId="0" xfId="0" applyNumberFormat="1" applyFill="1"/>
    <xf numFmtId="9" fontId="0" fillId="7" borderId="0" xfId="0" applyNumberFormat="1" applyFill="1"/>
    <xf numFmtId="10" fontId="0" fillId="7" borderId="0" xfId="0" applyNumberFormat="1" applyFill="1"/>
    <xf numFmtId="164" fontId="0" fillId="12" borderId="0" xfId="0" applyNumberFormat="1" applyFill="1"/>
    <xf numFmtId="0" fontId="1" fillId="13" borderId="0" xfId="0" applyFont="1" applyFill="1"/>
    <xf numFmtId="0" fontId="0" fillId="13" borderId="0" xfId="0" applyFill="1"/>
    <xf numFmtId="164" fontId="0" fillId="13" borderId="0" xfId="0" applyNumberFormat="1" applyFill="1"/>
    <xf numFmtId="3" fontId="0" fillId="13" borderId="0" xfId="0" applyNumberFormat="1" applyFill="1"/>
    <xf numFmtId="44" fontId="0" fillId="12" borderId="0" xfId="0" applyNumberFormat="1" applyFill="1"/>
    <xf numFmtId="0" fontId="0" fillId="14" borderId="0" xfId="0" applyFill="1"/>
    <xf numFmtId="0" fontId="0" fillId="15" borderId="0" xfId="0" applyFill="1"/>
    <xf numFmtId="164" fontId="0" fillId="15" borderId="0" xfId="0" applyNumberFormat="1" applyFill="1"/>
    <xf numFmtId="44" fontId="0" fillId="15" borderId="0" xfId="0" applyNumberFormat="1" applyFill="1"/>
    <xf numFmtId="0" fontId="1" fillId="15" borderId="0" xfId="0" applyFont="1" applyFill="1"/>
    <xf numFmtId="0" fontId="0" fillId="5" borderId="0" xfId="0" applyFill="1" applyAlignment="1">
      <alignment horizontal="center"/>
    </xf>
    <xf numFmtId="10" fontId="0" fillId="5" borderId="0" xfId="0" applyNumberFormat="1" applyFill="1"/>
    <xf numFmtId="10" fontId="1" fillId="5" borderId="0" xfId="0" applyNumberFormat="1" applyFont="1" applyFill="1"/>
    <xf numFmtId="10" fontId="0" fillId="15" borderId="0" xfId="0" applyNumberFormat="1" applyFill="1"/>
    <xf numFmtId="10" fontId="1" fillId="15" borderId="0" xfId="0" applyNumberFormat="1" applyFont="1" applyFill="1"/>
    <xf numFmtId="10" fontId="0" fillId="14" borderId="0" xfId="0" applyNumberFormat="1" applyFill="1"/>
    <xf numFmtId="0" fontId="1" fillId="17" borderId="0" xfId="0" applyFont="1" applyFill="1"/>
    <xf numFmtId="10" fontId="1" fillId="6" borderId="0" xfId="0" applyNumberFormat="1" applyFont="1" applyFill="1"/>
    <xf numFmtId="0" fontId="1" fillId="16" borderId="0" xfId="0" applyFont="1" applyFill="1"/>
    <xf numFmtId="0" fontId="1" fillId="18" borderId="0" xfId="0" applyFont="1" applyFill="1"/>
    <xf numFmtId="0" fontId="0" fillId="18" borderId="0" xfId="0" applyFill="1"/>
    <xf numFmtId="164" fontId="0" fillId="18" borderId="0" xfId="0" applyNumberFormat="1" applyFill="1"/>
    <xf numFmtId="170" fontId="0" fillId="18" borderId="0" xfId="0" applyNumberFormat="1" applyFill="1"/>
    <xf numFmtId="0" fontId="0" fillId="17" borderId="0" xfId="0" applyFill="1"/>
    <xf numFmtId="164" fontId="0" fillId="17" borderId="0" xfId="0" applyNumberFormat="1" applyFill="1"/>
    <xf numFmtId="170" fontId="0" fillId="17" borderId="0" xfId="0" applyNumberFormat="1" applyFill="1"/>
    <xf numFmtId="44" fontId="0" fillId="17" borderId="0" xfId="0" applyNumberFormat="1" applyFill="1"/>
    <xf numFmtId="164" fontId="1" fillId="17" borderId="0" xfId="0" applyNumberFormat="1" applyFont="1" applyFill="1"/>
    <xf numFmtId="170" fontId="1" fillId="6" borderId="0" xfId="0" applyNumberFormat="1" applyFont="1" applyFill="1"/>
    <xf numFmtId="164" fontId="1" fillId="16" borderId="0" xfId="0" applyNumberFormat="1" applyFont="1" applyFill="1"/>
    <xf numFmtId="2" fontId="0" fillId="0" borderId="0" xfId="0" applyNumberFormat="1"/>
    <xf numFmtId="164" fontId="1" fillId="0" borderId="0" xfId="0" applyNumberFormat="1" applyFont="1"/>
    <xf numFmtId="9" fontId="1" fillId="0" borderId="0" xfId="0" applyNumberFormat="1" applyFont="1"/>
    <xf numFmtId="164" fontId="0" fillId="3" borderId="0" xfId="0" applyNumberFormat="1" applyFill="1"/>
    <xf numFmtId="0" fontId="15" fillId="0" borderId="0" xfId="0" applyFont="1"/>
    <xf numFmtId="3" fontId="16" fillId="4" borderId="0" xfId="0" applyNumberFormat="1" applyFont="1" applyFill="1"/>
    <xf numFmtId="166" fontId="16" fillId="6" borderId="0" xfId="0" applyNumberFormat="1" applyFont="1" applyFill="1"/>
    <xf numFmtId="166" fontId="0" fillId="18" borderId="0" xfId="0" applyNumberFormat="1" applyFill="1"/>
    <xf numFmtId="0" fontId="0" fillId="19" borderId="0" xfId="0" applyFill="1"/>
    <xf numFmtId="166" fontId="0" fillId="19" borderId="0" xfId="0" applyNumberFormat="1" applyFill="1"/>
    <xf numFmtId="164" fontId="9" fillId="12" borderId="0" xfId="0" applyNumberFormat="1" applyFont="1" applyFill="1" applyAlignment="1">
      <alignment horizontal="right"/>
    </xf>
    <xf numFmtId="0" fontId="0" fillId="20" borderId="0" xfId="0" applyFill="1"/>
    <xf numFmtId="164" fontId="0" fillId="20" borderId="0" xfId="0" applyNumberFormat="1" applyFill="1"/>
    <xf numFmtId="0" fontId="0" fillId="21" borderId="0" xfId="0" applyFill="1"/>
    <xf numFmtId="0" fontId="17" fillId="21" borderId="0" xfId="1" applyFill="1"/>
    <xf numFmtId="0" fontId="0" fillId="21" borderId="0" xfId="0" applyFill="1" applyAlignment="1">
      <alignment horizontal="left"/>
    </xf>
    <xf numFmtId="3" fontId="0" fillId="4" borderId="0" xfId="0" applyNumberFormat="1" applyFont="1" applyFill="1"/>
    <xf numFmtId="164" fontId="16" fillId="3" borderId="0" xfId="0" applyNumberFormat="1" applyFont="1" applyFill="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133350</xdr:colOff>
      <xdr:row>4</xdr:row>
      <xdr:rowOff>133350</xdr:rowOff>
    </xdr:from>
    <xdr:to>
      <xdr:col>11</xdr:col>
      <xdr:colOff>419100</xdr:colOff>
      <xdr:row>19</xdr:row>
      <xdr:rowOff>66675</xdr:rowOff>
    </xdr:to>
    <xdr:sp macro="" textlink="">
      <xdr:nvSpPr>
        <xdr:cNvPr id="2" name="TextBox 1"/>
        <xdr:cNvSpPr txBox="1"/>
      </xdr:nvSpPr>
      <xdr:spPr>
        <a:xfrm>
          <a:off x="133350" y="971550"/>
          <a:ext cx="6991350" cy="2790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INTRODUCTION</a:t>
          </a:r>
        </a:p>
        <a:p>
          <a:pPr algn="ctr"/>
          <a:r>
            <a:rPr lang="en-US" sz="1100" b="0"/>
            <a:t>This</a:t>
          </a:r>
          <a:r>
            <a:rPr lang="en-US" sz="1100" b="0" baseline="0"/>
            <a:t> aquaculture oyster enterprise budget is intended to estimate operating results for a typical bottom cage lease for 5 years with a fixed per year growth rate. Cost estimates are based on industry surveys, interviews, and similar studies from other southern states. However, each oyster farm is different and numbers need to be modified to account for those differnces. Capital structure, production methods, price, etc. vary across operations and affect costs and returns. In particular, labor estimnates and cage costs should be carefully considered so that these costs accurately reflect those of an individual operation. Labor and cages are typically the most costly budget items and therefore affect profitability more than other categories. </a:t>
          </a:r>
        </a:p>
        <a:p>
          <a:pPr algn="ctr"/>
          <a:endParaRPr lang="en-US" sz="1100" b="0" baseline="0"/>
        </a:p>
        <a:p>
          <a:pPr algn="ctr"/>
          <a:r>
            <a:rPr lang="en-US" sz="1100" b="0" baseline="0"/>
            <a:t>*An important note of caution - this budget is intended as an estimation tool only an does not reflect all sceanrios that may be encountered. Also, this tool is a "farm-gate" estimation and does not include marketing costs. Prices assume wholesale distribution and marketing needs. Costs, such as additional refrigerated transportation, packaging materials, and shipping, are not included and should be taken into consideration where appropriate. </a:t>
          </a:r>
        </a:p>
        <a:p>
          <a:pPr algn="ctr"/>
          <a:endParaRPr lang="en-US" sz="1100" b="0" baseline="0"/>
        </a:p>
        <a:p>
          <a:pPr algn="ctr"/>
          <a:r>
            <a:rPr lang="en-US" sz="1100" b="0" baseline="0"/>
            <a:t>For a complete guide to understanding this budget spreadsheet, refer to the User Manual.</a:t>
          </a:r>
          <a:endParaRPr lang="en-US" sz="1100" b="0"/>
        </a:p>
      </xdr:txBody>
    </xdr:sp>
    <xdr:clientData/>
  </xdr:twoCellAnchor>
  <xdr:twoCellAnchor>
    <xdr:from>
      <xdr:col>0</xdr:col>
      <xdr:colOff>133350</xdr:colOff>
      <xdr:row>20</xdr:row>
      <xdr:rowOff>9525</xdr:rowOff>
    </xdr:from>
    <xdr:to>
      <xdr:col>11</xdr:col>
      <xdr:colOff>409575</xdr:colOff>
      <xdr:row>33</xdr:row>
      <xdr:rowOff>133350</xdr:rowOff>
    </xdr:to>
    <xdr:sp macro="" textlink="">
      <xdr:nvSpPr>
        <xdr:cNvPr id="3" name="TextBox 2"/>
        <xdr:cNvSpPr txBox="1"/>
      </xdr:nvSpPr>
      <xdr:spPr>
        <a:xfrm>
          <a:off x="133350" y="3895725"/>
          <a:ext cx="6981825" cy="2600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BASIC Instructions</a:t>
          </a:r>
          <a:r>
            <a:rPr lang="en-US" sz="1100" b="1" baseline="0"/>
            <a:t> for using this spreadsheet</a:t>
          </a:r>
        </a:p>
        <a:p>
          <a:pPr algn="ctr"/>
          <a:endParaRPr lang="en-US" sz="1100" b="1" baseline="0"/>
        </a:p>
        <a:p>
          <a:pPr algn="l"/>
          <a:r>
            <a:rPr lang="en-US" sz="1100" b="0" baseline="0"/>
            <a:t>1.   Open the Oyster Crop Budget worksheet and enter your first year target oyster sales.</a:t>
          </a:r>
        </a:p>
        <a:p>
          <a:pPr algn="l"/>
          <a:r>
            <a:rPr lang="en-US" sz="1100" b="0" baseline="0"/>
            <a:t>2.   Modify the key parameters as needed (upper left hand box in red).</a:t>
          </a:r>
        </a:p>
        <a:p>
          <a:pPr algn="l"/>
          <a:r>
            <a:rPr lang="en-US" sz="1100" b="0" baseline="0"/>
            <a:t>3.   Review your annual revenue projections (before costs).</a:t>
          </a:r>
        </a:p>
        <a:p>
          <a:pPr algn="l"/>
          <a:r>
            <a:rPr lang="en-US" sz="1100" b="0" baseline="0"/>
            <a:t>4.   Review and modify variable costs (yellow) as needed.</a:t>
          </a:r>
        </a:p>
        <a:p>
          <a:pPr algn="l"/>
          <a:r>
            <a:rPr lang="en-US" sz="1100" b="0" baseline="0"/>
            <a:t>5.   Review fixed costs (columns C and D). If changes are needed do so by opening the </a:t>
          </a:r>
          <a:r>
            <a:rPr lang="en-US" sz="1100" b="0" u="sng" baseline="0"/>
            <a:t>Line Item Notes </a:t>
          </a:r>
          <a:r>
            <a:rPr lang="en-US" sz="1100" b="0" u="none" baseline="0"/>
            <a:t>worksheet. </a:t>
          </a:r>
        </a:p>
        <a:p>
          <a:pPr algn="l"/>
          <a:r>
            <a:rPr lang="en-US" sz="1100" b="0" u="none" baseline="0"/>
            <a:t>      </a:t>
          </a:r>
          <a:r>
            <a:rPr lang="en-US" sz="1100" b="0" i="1" u="none" baseline="0"/>
            <a:t>Changes in capital costs and depreciation should be made in the Line Item sheet only.</a:t>
          </a:r>
        </a:p>
        <a:p>
          <a:pPr algn="l"/>
          <a:r>
            <a:rPr lang="en-US" sz="1100" b="0" u="none" baseline="0"/>
            <a:t>6.   Return to the </a:t>
          </a:r>
          <a:r>
            <a:rPr lang="en-US" sz="1100" b="0" u="sng" baseline="0"/>
            <a:t>Oyster Crop Budget </a:t>
          </a:r>
          <a:r>
            <a:rPr lang="en-US" sz="1100" b="0" u="none" baseline="0"/>
            <a:t>worksheet.</a:t>
          </a:r>
        </a:p>
        <a:p>
          <a:pPr algn="l"/>
          <a:r>
            <a:rPr lang="en-US" sz="1100" b="0" u="none" baseline="0"/>
            <a:t>7.   Review and modify permitting/lease costs (columns C and D) as needed.</a:t>
          </a:r>
        </a:p>
        <a:p>
          <a:pPr algn="l"/>
          <a:r>
            <a:rPr lang="en-US" sz="1100" b="0" u="none" baseline="0"/>
            <a:t>8.   Open and examine the </a:t>
          </a:r>
          <a:r>
            <a:rPr lang="en-US" sz="1100" b="0" u="sng" baseline="0"/>
            <a:t>Sensitivity Run </a:t>
          </a:r>
          <a:r>
            <a:rPr lang="en-US" sz="1100" b="0" u="none" baseline="0"/>
            <a:t>worksheet.</a:t>
          </a:r>
        </a:p>
        <a:p>
          <a:pPr algn="l"/>
          <a:r>
            <a:rPr lang="en-US" sz="1100" b="0" u="none" baseline="0"/>
            <a:t>9.   Open and examie the </a:t>
          </a:r>
          <a:r>
            <a:rPr lang="en-US" sz="1100" b="0" u="sng" baseline="0"/>
            <a:t>Budget Evaluation </a:t>
          </a:r>
          <a:r>
            <a:rPr lang="en-US" sz="1100" b="0" u="none" baseline="0"/>
            <a:t>worksheet.</a:t>
          </a:r>
        </a:p>
        <a:p>
          <a:pPr algn="l"/>
          <a:r>
            <a:rPr lang="en-US" sz="1100" b="0" u="none" baseline="0"/>
            <a:t>10. Optional - Print a copy of this workbook for your records.</a:t>
          </a:r>
          <a:endParaRPr lang="en-US" sz="1100" b="0" u="sng" baseline="0"/>
        </a:p>
      </xdr:txBody>
    </xdr:sp>
    <xdr:clientData/>
  </xdr:twoCellAnchor>
  <xdr:twoCellAnchor>
    <xdr:from>
      <xdr:col>12</xdr:col>
      <xdr:colOff>333374</xdr:colOff>
      <xdr:row>4</xdr:row>
      <xdr:rowOff>142875</xdr:rowOff>
    </xdr:from>
    <xdr:to>
      <xdr:col>23</xdr:col>
      <xdr:colOff>76199</xdr:colOff>
      <xdr:row>24</xdr:row>
      <xdr:rowOff>9525</xdr:rowOff>
    </xdr:to>
    <xdr:sp macro="" textlink="">
      <xdr:nvSpPr>
        <xdr:cNvPr id="4" name="TextBox 3"/>
        <xdr:cNvSpPr txBox="1"/>
      </xdr:nvSpPr>
      <xdr:spPr>
        <a:xfrm>
          <a:off x="7648574" y="981075"/>
          <a:ext cx="6448425" cy="3676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GENERAL</a:t>
          </a:r>
          <a:r>
            <a:rPr lang="en-US" sz="1100" b="1" baseline="0"/>
            <a:t> GUIDELINES</a:t>
          </a:r>
        </a:p>
        <a:p>
          <a:pPr algn="ctr"/>
          <a:endParaRPr lang="en-US" sz="1100" b="1" baseline="0"/>
        </a:p>
        <a:p>
          <a:pPr algn="l"/>
          <a:r>
            <a:rPr lang="en-US" sz="1100" b="1" baseline="0"/>
            <a:t>Changing Cells</a:t>
          </a:r>
        </a:p>
        <a:p>
          <a:pPr algn="l"/>
          <a:r>
            <a:rPr lang="en-US" sz="1100" b="1" baseline="0"/>
            <a:t>	</a:t>
          </a:r>
          <a:r>
            <a:rPr lang="en-US" sz="1100" b="0" baseline="0"/>
            <a:t>Cells with the most impact &amp; greatest variable farm-to-farm variation are noted in red.</a:t>
          </a:r>
        </a:p>
        <a:p>
          <a:pPr algn="l"/>
          <a:r>
            <a:rPr lang="en-US" sz="1100" b="0" baseline="0"/>
            <a:t>	Some cells are locked in order to protect formulas</a:t>
          </a:r>
        </a:p>
        <a:p>
          <a:pPr algn="l"/>
          <a:r>
            <a:rPr lang="en-US" sz="1100" b="0" baseline="0"/>
            <a:t>	Changes to capital costs of items must be made on the Line Item Notes worksheet (not on 	the  main budget sheet).</a:t>
          </a:r>
        </a:p>
        <a:p>
          <a:pPr algn="l"/>
          <a:endParaRPr lang="en-US" sz="1100" b="0" baseline="0"/>
        </a:p>
        <a:p>
          <a:pPr algn="l"/>
          <a:r>
            <a:rPr lang="en-US" sz="1100" b="1" baseline="0"/>
            <a:t>Worksheets - Oyster Crop Budget, Line Item Notes, Sensitivity Analysis, and Budget Evaluaiton</a:t>
          </a:r>
        </a:p>
        <a:p>
          <a:pPr algn="l"/>
          <a:r>
            <a:rPr lang="en-US" sz="1100" b="1" baseline="0"/>
            <a:t>	</a:t>
          </a:r>
          <a:r>
            <a:rPr lang="en-US" sz="1100" b="0" baseline="0"/>
            <a:t>To move between these sheets select the appropriate tab at the bottom of the screen</a:t>
          </a:r>
        </a:p>
        <a:p>
          <a:pPr algn="l"/>
          <a:endParaRPr lang="en-US" sz="1100" b="0" baseline="0"/>
        </a:p>
        <a:p>
          <a:pPr algn="l"/>
          <a:r>
            <a:rPr lang="en-US" sz="1100" b="0" baseline="0"/>
            <a:t>	</a:t>
          </a:r>
          <a:r>
            <a:rPr lang="en-US" sz="1100" b="1" u="sng" baseline="0"/>
            <a:t>Oyster Crop Budget </a:t>
          </a:r>
          <a:r>
            <a:rPr lang="en-US" sz="1100" b="0" baseline="0"/>
            <a:t>- main budget spreadsheet</a:t>
          </a:r>
        </a:p>
        <a:p>
          <a:pPr algn="l"/>
          <a:endParaRPr lang="en-US" sz="1100" b="0" baseline="0"/>
        </a:p>
        <a:p>
          <a:pPr algn="l"/>
          <a:r>
            <a:rPr lang="en-US" sz="1100" b="0" baseline="0"/>
            <a:t>	</a:t>
          </a:r>
          <a:r>
            <a:rPr lang="en-US" sz="1100" b="1" u="sng" baseline="0"/>
            <a:t>Line Item Notes </a:t>
          </a:r>
          <a:r>
            <a:rPr lang="en-US" sz="1100" b="0" baseline="0"/>
            <a:t>- explanation of certain line items such as labor, fuel, capital costs, and gear)</a:t>
          </a:r>
        </a:p>
        <a:p>
          <a:pPr algn="l"/>
          <a:endParaRPr lang="en-US" sz="1100" b="0" baseline="0"/>
        </a:p>
        <a:p>
          <a:pPr algn="l"/>
          <a:r>
            <a:rPr lang="en-US" sz="1100" b="0" baseline="0"/>
            <a:t>	</a:t>
          </a:r>
          <a:r>
            <a:rPr lang="en-US" sz="1100" b="1" u="sng" baseline="0"/>
            <a:t>Sensitivity Analysis </a:t>
          </a:r>
          <a:r>
            <a:rPr lang="en-US" sz="1100" b="0" baseline="0"/>
            <a:t>- outlines specific budget items in terms of percentage of items per total 	budget and cost of production per year.</a:t>
          </a:r>
        </a:p>
        <a:p>
          <a:pPr algn="l"/>
          <a:endParaRPr lang="en-US" sz="1100" b="0" baseline="0"/>
        </a:p>
        <a:p>
          <a:pPr algn="l"/>
          <a:r>
            <a:rPr lang="en-US" sz="1100" b="1"/>
            <a:t>Hovering the mouse pointer</a:t>
          </a:r>
          <a:r>
            <a:rPr lang="en-US" sz="1100" b="1" baseline="0"/>
            <a:t> over cells with red triangles in the corner shows explanations</a:t>
          </a:r>
          <a:endParaRPr lang="en-US" sz="1100" b="1"/>
        </a:p>
      </xdr:txBody>
    </xdr:sp>
    <xdr:clientData/>
  </xdr:twoCellAnchor>
  <xdr:twoCellAnchor>
    <xdr:from>
      <xdr:col>7</xdr:col>
      <xdr:colOff>9525</xdr:colOff>
      <xdr:row>37</xdr:row>
      <xdr:rowOff>180975</xdr:rowOff>
    </xdr:from>
    <xdr:to>
      <xdr:col>7</xdr:col>
      <xdr:colOff>57150</xdr:colOff>
      <xdr:row>38</xdr:row>
      <xdr:rowOff>36194</xdr:rowOff>
    </xdr:to>
    <xdr:sp macro="" textlink="">
      <xdr:nvSpPr>
        <xdr:cNvPr id="5" name="TextBox 4"/>
        <xdr:cNvSpPr txBox="1"/>
      </xdr:nvSpPr>
      <xdr:spPr>
        <a:xfrm>
          <a:off x="4276725" y="7305675"/>
          <a:ext cx="47625" cy="457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0</xdr:col>
      <xdr:colOff>133350</xdr:colOff>
      <xdr:row>35</xdr:row>
      <xdr:rowOff>0</xdr:rowOff>
    </xdr:from>
    <xdr:to>
      <xdr:col>7</xdr:col>
      <xdr:colOff>114300</xdr:colOff>
      <xdr:row>38</xdr:row>
      <xdr:rowOff>133350</xdr:rowOff>
    </xdr:to>
    <xdr:sp macro="" textlink="">
      <xdr:nvSpPr>
        <xdr:cNvPr id="6" name="TextBox 5"/>
        <xdr:cNvSpPr txBox="1"/>
      </xdr:nvSpPr>
      <xdr:spPr>
        <a:xfrm>
          <a:off x="133350" y="6743700"/>
          <a:ext cx="4248150" cy="704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TO START MODIFYING</a:t>
          </a:r>
          <a:r>
            <a:rPr lang="en-US" sz="1100" b="1" baseline="0"/>
            <a:t> THE BUDGET </a:t>
          </a:r>
          <a:r>
            <a:rPr lang="en-US" sz="1100" baseline="0"/>
            <a:t>Select the </a:t>
          </a:r>
          <a:r>
            <a:rPr lang="en-US" sz="1100" b="1" u="sng" baseline="0"/>
            <a:t>Oyster Crop Budget </a:t>
          </a:r>
          <a:r>
            <a:rPr lang="en-US" sz="1100" baseline="0"/>
            <a:t>tab at the bottom of the screen.</a:t>
          </a:r>
          <a:endParaRPr lang="en-US" sz="1100"/>
        </a:p>
      </xdr:txBody>
    </xdr:sp>
    <xdr:clientData/>
  </xdr:twoCellAnchor>
  <xdr:twoCellAnchor>
    <xdr:from>
      <xdr:col>12</xdr:col>
      <xdr:colOff>333375</xdr:colOff>
      <xdr:row>25</xdr:row>
      <xdr:rowOff>47625</xdr:rowOff>
    </xdr:from>
    <xdr:to>
      <xdr:col>22</xdr:col>
      <xdr:colOff>381000</xdr:colOff>
      <xdr:row>39</xdr:row>
      <xdr:rowOff>76200</xdr:rowOff>
    </xdr:to>
    <xdr:sp macro="" textlink="">
      <xdr:nvSpPr>
        <xdr:cNvPr id="7" name="TextBox 6"/>
        <xdr:cNvSpPr txBox="1"/>
      </xdr:nvSpPr>
      <xdr:spPr>
        <a:xfrm>
          <a:off x="7648575" y="4886325"/>
          <a:ext cx="6143625" cy="2695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FOR QUESTIONS CONTACT</a:t>
          </a:r>
        </a:p>
        <a:p>
          <a:pPr algn="ctr"/>
          <a:endParaRPr lang="en-US" sz="1100" b="1"/>
        </a:p>
        <a:p>
          <a:pPr algn="ctr"/>
          <a:endParaRPr lang="en-US" sz="1100" b="1"/>
        </a:p>
        <a:p>
          <a:pPr algn="ctr"/>
          <a:r>
            <a:rPr lang="en-US" sz="1100" b="0"/>
            <a:t>Tom</a:t>
          </a:r>
          <a:r>
            <a:rPr lang="en-US" sz="1100" b="0" baseline="0"/>
            <a:t> Bliss</a:t>
          </a:r>
        </a:p>
        <a:p>
          <a:pPr algn="ctr"/>
          <a:r>
            <a:rPr lang="en-US" sz="1100" b="0" baseline="0"/>
            <a:t>Director of Shellfish Research Laboratory</a:t>
          </a:r>
        </a:p>
        <a:p>
          <a:pPr algn="ctr"/>
          <a:r>
            <a:rPr lang="en-US" sz="1100" b="0" baseline="0"/>
            <a:t>UGA MAREX &amp; GASG</a:t>
          </a:r>
        </a:p>
        <a:p>
          <a:pPr algn="ctr"/>
          <a:r>
            <a:rPr lang="en-US" sz="1100" b="0" baseline="0"/>
            <a:t>tbliss@uga.edu  912-598-2348 ex:205</a:t>
          </a:r>
          <a:r>
            <a:rPr lang="en-US" sz="1100" b="0"/>
            <a:t> </a:t>
          </a:r>
        </a:p>
        <a:p>
          <a:pPr algn="ctr"/>
          <a:endParaRPr lang="en-US" sz="1100" b="0"/>
        </a:p>
        <a:p>
          <a:pPr algn="ctr"/>
          <a:endParaRPr lang="en-US" sz="1100" b="0"/>
        </a:p>
        <a:p>
          <a:pPr algn="ctr"/>
          <a:r>
            <a:rPr lang="en-US" sz="1100" b="0"/>
            <a:t>Spreadsheet was developed</a:t>
          </a:r>
          <a:r>
            <a:rPr lang="en-US" sz="1100" b="0" baseline="0"/>
            <a:t> by: Adam Stemle(UGA), Thomas Bliss(UGA), Will Lewis(Research Associate,UGA) and Tommie Shepherd(Dept. of Ag. &amp; Applied Economics,UGA)</a:t>
          </a:r>
          <a:endParaRPr lang="en-US" sz="1100" b="0"/>
        </a:p>
      </xdr:txBody>
    </xdr:sp>
    <xdr:clientData/>
  </xdr:twoCellAnchor>
  <xdr:twoCellAnchor editAs="oneCell">
    <xdr:from>
      <xdr:col>8</xdr:col>
      <xdr:colOff>19050</xdr:colOff>
      <xdr:row>29</xdr:row>
      <xdr:rowOff>76200</xdr:rowOff>
    </xdr:from>
    <xdr:to>
      <xdr:col>12</xdr:col>
      <xdr:colOff>161925</xdr:colOff>
      <xdr:row>40</xdr:row>
      <xdr:rowOff>85725</xdr:rowOff>
    </xdr:to>
    <xdr:pic>
      <xdr:nvPicPr>
        <xdr:cNvPr id="8" name="Pictur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95850" y="5676900"/>
          <a:ext cx="2581275" cy="2105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428625</xdr:colOff>
      <xdr:row>0</xdr:row>
      <xdr:rowOff>38100</xdr:rowOff>
    </xdr:from>
    <xdr:to>
      <xdr:col>1</xdr:col>
      <xdr:colOff>2850805</xdr:colOff>
      <xdr:row>5</xdr:row>
      <xdr:rowOff>152400</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8625" y="38100"/>
          <a:ext cx="3031780" cy="2371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xdr:row>
      <xdr:rowOff>9525</xdr:rowOff>
    </xdr:from>
    <xdr:to>
      <xdr:col>11</xdr:col>
      <xdr:colOff>1</xdr:colOff>
      <xdr:row>3</xdr:row>
      <xdr:rowOff>1181100</xdr:rowOff>
    </xdr:to>
    <xdr:sp macro="" textlink="">
      <xdr:nvSpPr>
        <xdr:cNvPr id="3" name="TextBox 2"/>
        <xdr:cNvSpPr txBox="1"/>
      </xdr:nvSpPr>
      <xdr:spPr>
        <a:xfrm>
          <a:off x="3286125" y="885825"/>
          <a:ext cx="9077326" cy="1171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Instructions:  Start</a:t>
          </a:r>
          <a:r>
            <a:rPr lang="en-US" sz="1100" baseline="0"/>
            <a:t> by entering the first year's target annual oyster sales. This sales number will be the basis to calculate expected costs and returns for Years 1 - 5 for a representative farm )based on variables chosen based upon prior research. Most other variables in this worksheet can be changed, however, those that have the greatest impact are red in color. Changes to a fixed cost items unit cost must be made in the Line Item Notes worksheet by selecting that  tab at the bottom of the screen. Many cells are locked to protect formulas and ensure proper functioning of the spreadsheet. For a complete set of instructions please see the user manual.</a:t>
          </a:r>
          <a:endParaRPr lang="en-US" sz="1100"/>
        </a:p>
      </xdr:txBody>
    </xdr:sp>
    <xdr:clientData/>
  </xdr:twoCellAnchor>
  <xdr:twoCellAnchor>
    <xdr:from>
      <xdr:col>5</xdr:col>
      <xdr:colOff>1962151</xdr:colOff>
      <xdr:row>6</xdr:row>
      <xdr:rowOff>9526</xdr:rowOff>
    </xdr:from>
    <xdr:to>
      <xdr:col>7</xdr:col>
      <xdr:colOff>733426</xdr:colOff>
      <xdr:row>7</xdr:row>
      <xdr:rowOff>76200</xdr:rowOff>
    </xdr:to>
    <xdr:sp macro="" textlink="">
      <xdr:nvSpPr>
        <xdr:cNvPr id="4" name="TextBox 3"/>
        <xdr:cNvSpPr txBox="1"/>
      </xdr:nvSpPr>
      <xdr:spPr>
        <a:xfrm>
          <a:off x="10239376" y="2457451"/>
          <a:ext cx="1905000" cy="257174"/>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chemeClr val="bg1"/>
              </a:solidFill>
            </a:rPr>
            <a:t>Start</a:t>
          </a:r>
          <a:r>
            <a:rPr lang="en-US" sz="1100" b="1" u="sng" baseline="0">
              <a:solidFill>
                <a:schemeClr val="bg1"/>
              </a:solidFill>
            </a:rPr>
            <a:t> with Key Assumptions</a:t>
          </a:r>
          <a:endParaRPr lang="en-US" sz="1100" b="1" u="sng">
            <a:solidFill>
              <a:schemeClr val="bg1"/>
            </a:solidFill>
          </a:endParaRPr>
        </a:p>
      </xdr:txBody>
    </xdr:sp>
    <xdr:clientData/>
  </xdr:twoCellAnchor>
  <xdr:twoCellAnchor>
    <xdr:from>
      <xdr:col>6</xdr:col>
      <xdr:colOff>19049</xdr:colOff>
      <xdr:row>7</xdr:row>
      <xdr:rowOff>133349</xdr:rowOff>
    </xdr:from>
    <xdr:to>
      <xdr:col>7</xdr:col>
      <xdr:colOff>771524</xdr:colOff>
      <xdr:row>10</xdr:row>
      <xdr:rowOff>28574</xdr:rowOff>
    </xdr:to>
    <xdr:sp macro="" textlink="">
      <xdr:nvSpPr>
        <xdr:cNvPr id="7" name="TextBox 6"/>
        <xdr:cNvSpPr txBox="1"/>
      </xdr:nvSpPr>
      <xdr:spPr>
        <a:xfrm>
          <a:off x="10267949" y="2771774"/>
          <a:ext cx="1914525" cy="46672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chemeClr val="bg1"/>
              </a:solidFill>
            </a:rPr>
            <a:t>On this Tab change ONLY items</a:t>
          </a:r>
          <a:r>
            <a:rPr lang="en-US" sz="1100" b="1" u="sng" baseline="0">
              <a:solidFill>
                <a:schemeClr val="bg1"/>
              </a:solidFill>
            </a:rPr>
            <a:t> in Red Cells</a:t>
          </a:r>
          <a:endParaRPr lang="en-US" sz="1100" b="1" u="sng">
            <a:solidFill>
              <a:schemeClr val="bg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119062</xdr:colOff>
      <xdr:row>16</xdr:row>
      <xdr:rowOff>4764</xdr:rowOff>
    </xdr:from>
    <xdr:to>
      <xdr:col>13</xdr:col>
      <xdr:colOff>490537</xdr:colOff>
      <xdr:row>25</xdr:row>
      <xdr:rowOff>4764</xdr:rowOff>
    </xdr:to>
    <xdr:sp macro="" textlink="">
      <xdr:nvSpPr>
        <xdr:cNvPr id="2" name="TextBox 1"/>
        <xdr:cNvSpPr txBox="1"/>
      </xdr:nvSpPr>
      <xdr:spPr>
        <a:xfrm rot="16200000">
          <a:off x="7372350" y="3829051"/>
          <a:ext cx="1714500" cy="371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a:t>Price</a:t>
          </a:r>
          <a:r>
            <a:rPr lang="en-US" sz="1600" baseline="0"/>
            <a:t> Per Oyster</a:t>
          </a:r>
          <a:endParaRPr lang="en-US" sz="1600"/>
        </a:p>
      </xdr:txBody>
    </xdr:sp>
    <xdr:clientData/>
  </xdr:twoCellAnchor>
  <xdr:twoCellAnchor>
    <xdr:from>
      <xdr:col>13</xdr:col>
      <xdr:colOff>95251</xdr:colOff>
      <xdr:row>33</xdr:row>
      <xdr:rowOff>9525</xdr:rowOff>
    </xdr:from>
    <xdr:to>
      <xdr:col>13</xdr:col>
      <xdr:colOff>466726</xdr:colOff>
      <xdr:row>42</xdr:row>
      <xdr:rowOff>9525</xdr:rowOff>
    </xdr:to>
    <xdr:sp macro="" textlink="">
      <xdr:nvSpPr>
        <xdr:cNvPr id="3" name="TextBox 2"/>
        <xdr:cNvSpPr txBox="1"/>
      </xdr:nvSpPr>
      <xdr:spPr>
        <a:xfrm rot="16200000">
          <a:off x="7348539" y="7072312"/>
          <a:ext cx="1714500" cy="371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a:t>Price</a:t>
          </a:r>
          <a:r>
            <a:rPr lang="en-US" sz="1600" baseline="0"/>
            <a:t> Per Oyster</a:t>
          </a:r>
          <a:endParaRPr lang="en-US" sz="1600"/>
        </a:p>
      </xdr:txBody>
    </xdr:sp>
    <xdr:clientData/>
  </xdr:twoCellAnchor>
  <xdr:twoCellAnchor>
    <xdr:from>
      <xdr:col>13</xdr:col>
      <xdr:colOff>95251</xdr:colOff>
      <xdr:row>49</xdr:row>
      <xdr:rowOff>0</xdr:rowOff>
    </xdr:from>
    <xdr:to>
      <xdr:col>13</xdr:col>
      <xdr:colOff>466726</xdr:colOff>
      <xdr:row>58</xdr:row>
      <xdr:rowOff>0</xdr:rowOff>
    </xdr:to>
    <xdr:sp macro="" textlink="">
      <xdr:nvSpPr>
        <xdr:cNvPr id="4" name="TextBox 3"/>
        <xdr:cNvSpPr txBox="1"/>
      </xdr:nvSpPr>
      <xdr:spPr>
        <a:xfrm rot="16200000">
          <a:off x="7348539" y="10110787"/>
          <a:ext cx="1714500" cy="371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a:t>Price</a:t>
          </a:r>
          <a:r>
            <a:rPr lang="en-US" sz="1600" baseline="0"/>
            <a:t> Per Oyster</a:t>
          </a:r>
          <a:endParaRPr lang="en-US" sz="1600"/>
        </a:p>
      </xdr:txBody>
    </xdr:sp>
    <xdr:clientData/>
  </xdr:twoCellAnchor>
  <xdr:twoCellAnchor>
    <xdr:from>
      <xdr:col>13</xdr:col>
      <xdr:colOff>95251</xdr:colOff>
      <xdr:row>66</xdr:row>
      <xdr:rowOff>0</xdr:rowOff>
    </xdr:from>
    <xdr:to>
      <xdr:col>13</xdr:col>
      <xdr:colOff>466726</xdr:colOff>
      <xdr:row>75</xdr:row>
      <xdr:rowOff>0</xdr:rowOff>
    </xdr:to>
    <xdr:sp macro="" textlink="">
      <xdr:nvSpPr>
        <xdr:cNvPr id="5" name="TextBox 4"/>
        <xdr:cNvSpPr txBox="1"/>
      </xdr:nvSpPr>
      <xdr:spPr>
        <a:xfrm rot="16200000">
          <a:off x="7348539" y="13349287"/>
          <a:ext cx="1714500" cy="371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a:t>Price</a:t>
          </a:r>
          <a:r>
            <a:rPr lang="en-US" sz="1600" baseline="0"/>
            <a:t> Per Oyster</a:t>
          </a:r>
          <a:endParaRPr lang="en-US" sz="1600"/>
        </a:p>
      </xdr:txBody>
    </xdr:sp>
    <xdr:clientData/>
  </xdr:twoCellAnchor>
  <xdr:twoCellAnchor>
    <xdr:from>
      <xdr:col>13</xdr:col>
      <xdr:colOff>95251</xdr:colOff>
      <xdr:row>83</xdr:row>
      <xdr:rowOff>0</xdr:rowOff>
    </xdr:from>
    <xdr:to>
      <xdr:col>13</xdr:col>
      <xdr:colOff>466726</xdr:colOff>
      <xdr:row>92</xdr:row>
      <xdr:rowOff>0</xdr:rowOff>
    </xdr:to>
    <xdr:sp macro="" textlink="">
      <xdr:nvSpPr>
        <xdr:cNvPr id="6" name="TextBox 5"/>
        <xdr:cNvSpPr txBox="1"/>
      </xdr:nvSpPr>
      <xdr:spPr>
        <a:xfrm rot="16200000">
          <a:off x="7348539" y="16587787"/>
          <a:ext cx="1714500" cy="371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a:t>Price</a:t>
          </a:r>
          <a:r>
            <a:rPr lang="en-US" sz="1600" baseline="0"/>
            <a:t> Per Oyster</a:t>
          </a:r>
          <a:endParaRPr lang="en-US" sz="16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ketchamsupply.com/"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4"/>
  <sheetViews>
    <sheetView workbookViewId="0">
      <selection activeCell="P42" sqref="P42"/>
    </sheetView>
  </sheetViews>
  <sheetFormatPr defaultRowHeight="15" x14ac:dyDescent="0.25"/>
  <sheetData>
    <row r="2" spans="1:1" ht="21" x14ac:dyDescent="0.35">
      <c r="A2" s="1" t="s">
        <v>0</v>
      </c>
    </row>
    <row r="3" spans="1:1" x14ac:dyDescent="0.25">
      <c r="A3" s="2" t="s">
        <v>1</v>
      </c>
    </row>
    <row r="4" spans="1:1" x14ac:dyDescent="0.25">
      <c r="A4" s="3" t="s">
        <v>2</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5"/>
  <sheetViews>
    <sheetView tabSelected="1" topLeftCell="A43" zoomScaleNormal="100" workbookViewId="0">
      <selection activeCell="K57" sqref="K57"/>
    </sheetView>
  </sheetViews>
  <sheetFormatPr defaultRowHeight="15" x14ac:dyDescent="0.25"/>
  <cols>
    <col min="2" max="2" width="42.85546875" customWidth="1"/>
    <col min="3" max="3" width="31.28515625" customWidth="1"/>
    <col min="4" max="4" width="19.7109375" customWidth="1"/>
    <col min="5" max="5" width="21.140625" customWidth="1"/>
    <col min="6" max="6" width="29.5703125" customWidth="1"/>
    <col min="7" max="7" width="17.42578125" customWidth="1"/>
    <col min="8" max="8" width="15.5703125" customWidth="1"/>
    <col min="9" max="9" width="16.7109375" customWidth="1"/>
    <col min="10" max="10" width="15.140625" customWidth="1"/>
    <col min="11" max="11" width="40.7109375" bestFit="1" customWidth="1"/>
    <col min="14" max="14" width="6.7109375" bestFit="1" customWidth="1"/>
    <col min="15" max="15" width="10.85546875" bestFit="1" customWidth="1"/>
    <col min="16" max="22" width="12.7109375" bestFit="1" customWidth="1"/>
    <col min="23" max="23" width="11.7109375" bestFit="1" customWidth="1"/>
    <col min="24" max="27" width="12.7109375" bestFit="1" customWidth="1"/>
    <col min="28" max="28" width="12" bestFit="1" customWidth="1"/>
  </cols>
  <sheetData>
    <row r="1" spans="2:28" ht="35.25" customHeight="1" x14ac:dyDescent="0.35">
      <c r="C1" s="6" t="s">
        <v>185</v>
      </c>
      <c r="D1" s="5"/>
      <c r="E1" s="5"/>
      <c r="F1" s="5"/>
      <c r="G1" s="5"/>
      <c r="H1" s="5"/>
      <c r="I1" s="5"/>
      <c r="J1" s="5"/>
      <c r="K1" s="4"/>
    </row>
    <row r="2" spans="2:28" ht="18.75" x14ac:dyDescent="0.3">
      <c r="C2" s="7" t="s">
        <v>3</v>
      </c>
      <c r="D2" s="5"/>
      <c r="E2" s="5"/>
      <c r="F2" s="5"/>
      <c r="G2" s="5"/>
      <c r="H2" s="5"/>
      <c r="I2" s="5"/>
      <c r="J2" s="4"/>
      <c r="K2" s="4"/>
    </row>
    <row r="3" spans="2:28" x14ac:dyDescent="0.25">
      <c r="C3" s="8" t="s">
        <v>186</v>
      </c>
      <c r="D3" s="5"/>
      <c r="E3" s="5"/>
      <c r="F3" s="5"/>
      <c r="G3" s="5"/>
      <c r="H3" s="5"/>
      <c r="I3" s="5"/>
      <c r="J3" s="4"/>
      <c r="K3" s="4"/>
    </row>
    <row r="4" spans="2:28" ht="93.75" customHeight="1" x14ac:dyDescent="0.25"/>
    <row r="6" spans="2:28" x14ac:dyDescent="0.25">
      <c r="D6" s="13" t="s">
        <v>6</v>
      </c>
      <c r="E6" s="13" t="s">
        <v>7</v>
      </c>
      <c r="F6" s="13" t="s">
        <v>8</v>
      </c>
    </row>
    <row r="7" spans="2:28" x14ac:dyDescent="0.25">
      <c r="B7" s="13" t="s">
        <v>4</v>
      </c>
      <c r="C7" s="12" t="s">
        <v>5</v>
      </c>
      <c r="D7" s="9" t="s">
        <v>12</v>
      </c>
      <c r="E7" s="11">
        <f>F7/(1-C9)</f>
        <v>83333.333333333343</v>
      </c>
      <c r="F7" s="114">
        <f>C10*C13</f>
        <v>50000</v>
      </c>
    </row>
    <row r="8" spans="2:28" x14ac:dyDescent="0.25">
      <c r="B8" s="10" t="s">
        <v>9</v>
      </c>
      <c r="C8" s="14">
        <v>0.42</v>
      </c>
      <c r="D8" s="9" t="s">
        <v>13</v>
      </c>
      <c r="E8" s="11">
        <f>F8/(1-C9)</f>
        <v>125000</v>
      </c>
      <c r="F8" s="11">
        <f>F7+(C11*C13)</f>
        <v>75000</v>
      </c>
    </row>
    <row r="9" spans="2:28" x14ac:dyDescent="0.25">
      <c r="B9" s="10" t="s">
        <v>10</v>
      </c>
      <c r="C9" s="15">
        <v>0.4</v>
      </c>
      <c r="D9" s="9" t="s">
        <v>14</v>
      </c>
      <c r="E9" s="11">
        <f>F9/(1-C9)</f>
        <v>166666.66666666669</v>
      </c>
      <c r="F9" s="11">
        <f>F8+(C11*C13)</f>
        <v>100000</v>
      </c>
    </row>
    <row r="10" spans="2:28" x14ac:dyDescent="0.25">
      <c r="B10" s="10" t="s">
        <v>187</v>
      </c>
      <c r="C10" s="16">
        <v>200</v>
      </c>
      <c r="D10" s="9" t="s">
        <v>15</v>
      </c>
      <c r="E10" s="11">
        <f>F10/(1-C9)</f>
        <v>208333.33333333334</v>
      </c>
      <c r="F10" s="11">
        <f>F9+(C11*C13)</f>
        <v>125000</v>
      </c>
    </row>
    <row r="11" spans="2:28" x14ac:dyDescent="0.25">
      <c r="B11" s="10" t="s">
        <v>188</v>
      </c>
      <c r="C11" s="16">
        <v>100</v>
      </c>
      <c r="D11" s="9" t="s">
        <v>16</v>
      </c>
      <c r="E11" s="11">
        <f>F11/(1-C9)</f>
        <v>250000</v>
      </c>
      <c r="F11" s="11">
        <f>F10+(C11*C13)</f>
        <v>150000</v>
      </c>
    </row>
    <row r="12" spans="2:28" x14ac:dyDescent="0.25">
      <c r="B12" s="10" t="s">
        <v>11</v>
      </c>
      <c r="C12" s="125">
        <f>(C13/(1-C9))*C11</f>
        <v>41666.666666666672</v>
      </c>
    </row>
    <row r="13" spans="2:28" ht="17.25" x14ac:dyDescent="0.25">
      <c r="B13" s="10" t="s">
        <v>189</v>
      </c>
      <c r="C13" s="16">
        <v>250</v>
      </c>
    </row>
    <row r="14" spans="2:28" x14ac:dyDescent="0.25">
      <c r="B14" s="17" t="s">
        <v>4</v>
      </c>
      <c r="C14" s="18" t="s">
        <v>17</v>
      </c>
      <c r="D14" s="17" t="s">
        <v>18</v>
      </c>
      <c r="E14" s="18" t="s">
        <v>19</v>
      </c>
      <c r="F14" s="17" t="s">
        <v>12</v>
      </c>
      <c r="G14" s="18" t="s">
        <v>13</v>
      </c>
      <c r="H14" s="17" t="s">
        <v>14</v>
      </c>
      <c r="I14" s="18" t="s">
        <v>15</v>
      </c>
      <c r="J14" s="17" t="s">
        <v>16</v>
      </c>
      <c r="N14" t="s">
        <v>12</v>
      </c>
      <c r="O14" s="24">
        <f>F68</f>
        <v>-23783.096799999999</v>
      </c>
      <c r="P14" s="109">
        <v>0.15</v>
      </c>
      <c r="Q14" s="109">
        <v>0.2</v>
      </c>
      <c r="R14" s="109">
        <v>0.25</v>
      </c>
      <c r="S14" s="109">
        <v>0.3</v>
      </c>
      <c r="T14" s="109">
        <v>0.35</v>
      </c>
      <c r="U14" s="109">
        <v>0.4</v>
      </c>
      <c r="V14" s="109">
        <v>0.45</v>
      </c>
      <c r="W14" s="109">
        <v>0.5</v>
      </c>
      <c r="X14" s="109">
        <v>0.55000000000000004</v>
      </c>
      <c r="Y14" s="109">
        <v>0.6</v>
      </c>
      <c r="Z14" s="109">
        <v>0.65</v>
      </c>
      <c r="AA14" s="109">
        <v>0.7</v>
      </c>
      <c r="AB14" s="109">
        <v>0.75</v>
      </c>
    </row>
    <row r="15" spans="2:28" x14ac:dyDescent="0.25">
      <c r="B15" s="19" t="s">
        <v>20</v>
      </c>
      <c r="C15" s="20"/>
      <c r="D15" s="20"/>
      <c r="E15" s="20"/>
      <c r="F15" s="20"/>
      <c r="G15" s="20"/>
      <c r="H15" s="20"/>
      <c r="I15" s="20"/>
      <c r="J15" s="20"/>
      <c r="O15" s="24">
        <v>0.35</v>
      </c>
      <c r="P15">
        <f t="dataTable" ref="P15:AB28" dt2D="1" dtr="1" r1="C9" r2="C8"/>
        <v>-26970.596799999999</v>
      </c>
      <c r="Q15">
        <v>-27017.471799999999</v>
      </c>
      <c r="R15">
        <v>-27070.596799999999</v>
      </c>
      <c r="S15">
        <v>-27131.311085714289</v>
      </c>
      <c r="T15">
        <v>-27201.366030769233</v>
      </c>
      <c r="U15">
        <v>-27283.096799999999</v>
      </c>
      <c r="V15">
        <v>-27379.687709090911</v>
      </c>
      <c r="W15">
        <v>-27495.596799999999</v>
      </c>
      <c r="X15">
        <v>-27637.263466666671</v>
      </c>
      <c r="Y15">
        <v>-27814.346799999999</v>
      </c>
      <c r="Z15">
        <v>-28042.025371428572</v>
      </c>
      <c r="AA15">
        <v>-28345.596799999999</v>
      </c>
      <c r="AB15">
        <v>-28770.596799999999</v>
      </c>
    </row>
    <row r="16" spans="2:28" x14ac:dyDescent="0.25">
      <c r="B16" s="20" t="s">
        <v>21</v>
      </c>
      <c r="C16" s="20" t="s">
        <v>22</v>
      </c>
      <c r="D16" s="20" t="s">
        <v>23</v>
      </c>
      <c r="E16" s="21">
        <f>C8</f>
        <v>0.42</v>
      </c>
      <c r="F16" s="21">
        <f>F7*E16</f>
        <v>21000</v>
      </c>
      <c r="G16" s="21">
        <f>F8*E16</f>
        <v>31500</v>
      </c>
      <c r="H16" s="21">
        <f>F9*C8</f>
        <v>42000</v>
      </c>
      <c r="I16" s="21">
        <f>F10*C8</f>
        <v>52500</v>
      </c>
      <c r="J16" s="21">
        <f>F11*C8</f>
        <v>63000</v>
      </c>
      <c r="O16" s="24">
        <v>0.4</v>
      </c>
      <c r="P16">
        <v>-24470.596799999999</v>
      </c>
      <c r="Q16">
        <v>-24517.471799999999</v>
      </c>
      <c r="R16">
        <v>-24570.596799999999</v>
      </c>
      <c r="S16">
        <v>-24631.311085714289</v>
      </c>
      <c r="T16">
        <v>-24701.366030769233</v>
      </c>
      <c r="U16">
        <v>-24783.096799999999</v>
      </c>
      <c r="V16">
        <v>-24879.687709090911</v>
      </c>
      <c r="W16">
        <v>-24995.596799999999</v>
      </c>
      <c r="X16">
        <v>-25137.263466666671</v>
      </c>
      <c r="Y16">
        <v>-25314.346799999999</v>
      </c>
      <c r="Z16">
        <v>-25542.025371428572</v>
      </c>
      <c r="AA16">
        <v>-25845.596799999999</v>
      </c>
      <c r="AB16">
        <v>-26270.596799999999</v>
      </c>
    </row>
    <row r="17" spans="2:28" x14ac:dyDescent="0.25">
      <c r="O17" s="24">
        <v>0.45</v>
      </c>
      <c r="P17">
        <v>-21970.596799999999</v>
      </c>
      <c r="Q17">
        <v>-22017.471799999999</v>
      </c>
      <c r="R17">
        <v>-22070.596799999999</v>
      </c>
      <c r="S17">
        <v>-22131.311085714289</v>
      </c>
      <c r="T17">
        <v>-22201.366030769233</v>
      </c>
      <c r="U17">
        <v>-22283.096799999999</v>
      </c>
      <c r="V17">
        <v>-22379.687709090911</v>
      </c>
      <c r="W17">
        <v>-22495.596799999999</v>
      </c>
      <c r="X17">
        <v>-22637.263466666671</v>
      </c>
      <c r="Y17">
        <v>-22814.346799999999</v>
      </c>
      <c r="Z17">
        <v>-23042.025371428572</v>
      </c>
      <c r="AA17">
        <v>-23345.596799999999</v>
      </c>
      <c r="AB17">
        <v>-23770.596799999999</v>
      </c>
    </row>
    <row r="18" spans="2:28" x14ac:dyDescent="0.25">
      <c r="B18" s="22" t="s">
        <v>24</v>
      </c>
      <c r="C18" s="23"/>
      <c r="D18" s="23"/>
      <c r="E18" s="23"/>
      <c r="F18" s="23"/>
      <c r="G18" s="23"/>
      <c r="H18" s="23"/>
      <c r="I18" s="23"/>
      <c r="J18" s="23"/>
      <c r="O18" s="24">
        <v>0.5</v>
      </c>
      <c r="P18">
        <v>-19470.596799999999</v>
      </c>
      <c r="Q18">
        <v>-19517.471799999999</v>
      </c>
      <c r="R18">
        <v>-19570.596799999999</v>
      </c>
      <c r="S18">
        <v>-19631.311085714289</v>
      </c>
      <c r="T18">
        <v>-19701.366030769233</v>
      </c>
      <c r="U18">
        <v>-19783.096799999999</v>
      </c>
      <c r="V18">
        <v>-19879.687709090911</v>
      </c>
      <c r="W18">
        <v>-19995.596799999999</v>
      </c>
      <c r="X18">
        <v>-20137.263466666671</v>
      </c>
      <c r="Y18">
        <v>-20314.346799999999</v>
      </c>
      <c r="Z18">
        <v>-20542.025371428572</v>
      </c>
      <c r="AA18">
        <v>-20845.596799999999</v>
      </c>
      <c r="AB18">
        <v>-21270.596799999999</v>
      </c>
    </row>
    <row r="19" spans="2:28" x14ac:dyDescent="0.25">
      <c r="B19" s="23" t="s">
        <v>25</v>
      </c>
      <c r="C19" s="25">
        <v>1000</v>
      </c>
      <c r="D19" s="26" t="s">
        <v>26</v>
      </c>
      <c r="E19" s="27">
        <v>12.75</v>
      </c>
      <c r="F19" s="27">
        <f>E19*(E7/C19)</f>
        <v>1062.5000000000002</v>
      </c>
      <c r="G19" s="27">
        <f>E19*(E8/C19)</f>
        <v>1593.75</v>
      </c>
      <c r="H19" s="27">
        <f>E19*(E9/C19)</f>
        <v>2125.0000000000005</v>
      </c>
      <c r="I19" s="27">
        <f>E19*(E10/C19)</f>
        <v>2656.25</v>
      </c>
      <c r="J19" s="27">
        <f>E19*(E11/C19)</f>
        <v>3187.5</v>
      </c>
      <c r="O19" s="24">
        <v>0.55000000000000004</v>
      </c>
      <c r="P19">
        <v>-16970.596799999996</v>
      </c>
      <c r="Q19">
        <v>-17017.471799999996</v>
      </c>
      <c r="R19">
        <v>-17070.596799999996</v>
      </c>
      <c r="S19">
        <v>-17131.311085714286</v>
      </c>
      <c r="T19">
        <v>-17201.36603076923</v>
      </c>
      <c r="U19">
        <v>-17283.096799999996</v>
      </c>
      <c r="V19">
        <v>-17379.687709090907</v>
      </c>
      <c r="W19">
        <v>-17495.596799999996</v>
      </c>
      <c r="X19">
        <v>-17637.263466666667</v>
      </c>
      <c r="Y19">
        <v>-17814.346799999996</v>
      </c>
      <c r="Z19">
        <v>-18042.025371428568</v>
      </c>
      <c r="AA19">
        <v>-18345.596799999996</v>
      </c>
      <c r="AB19">
        <v>-18770.596799999996</v>
      </c>
    </row>
    <row r="20" spans="2:28" x14ac:dyDescent="0.25">
      <c r="B20" s="23" t="s">
        <v>27</v>
      </c>
      <c r="C20" s="30" t="s">
        <v>30</v>
      </c>
      <c r="D20" s="30" t="s">
        <v>28</v>
      </c>
      <c r="E20" s="27">
        <v>14.38</v>
      </c>
      <c r="F20" s="31">
        <f>IF(F7&lt;100001,'Line Item Notes'!$B$6*'Oyster Crop Budget'!$E$20,IF(F7&lt;200001,'Line Item Notes'!$B$7*'Oyster Crop Budget'!$E$20,IF(F7&lt;300001,'Line Item Notes'!$B$8*'Oyster Crop Budget'!$E$20,IF(F7&lt;400001,'Line Item Notes'!$B$9*'Oyster Crop Budget'!$E$20,IF(F7&gt;400001,'Line Item Notes'!$B$10*'Oyster Crop Budget'!$E$20)))))</f>
        <v>0</v>
      </c>
      <c r="G20" s="31">
        <f>IF(F8&lt;100001,'Line Item Notes'!$B$6*'Oyster Crop Budget'!$E$20,IF(F8&lt;200001,'Line Item Notes'!$B$7*'Oyster Crop Budget'!$E$20,IF(F8&lt;300001,'Line Item Notes'!$B$8*'Oyster Crop Budget'!$E$20,IF(F8&lt;400001,'Line Item Notes'!$B$9*'Oyster Crop Budget'!$E$20,IF(F8&gt;400001,'Line Item Notes'!$B$10*'Oyster Crop Budget'!$E$20)))))</f>
        <v>0</v>
      </c>
      <c r="H20" s="31">
        <f>IF(F9&lt;100001,'Line Item Notes'!$B$6*'Oyster Crop Budget'!$E$20,IF(F9&lt;200001,'Line Item Notes'!$B$7*'Oyster Crop Budget'!$E$20,IF(F9&lt;300001,'Line Item Notes'!$B$8*'Oyster Crop Budget'!$E$20,IF(F9&lt;400001,'Line Item Notes'!$B$9*'Oyster Crop Budget'!$E$20,IF(F9&gt;400001,'Line Item Notes'!$B$10*'Oyster Crop Budget'!$E$20)))))</f>
        <v>0</v>
      </c>
      <c r="I20" s="31">
        <f>IF(F10&lt;100001,'Line Item Notes'!$B$6*'Oyster Crop Budget'!$E$20,IF(F10&lt;200001,'Line Item Notes'!$B$7*'Oyster Crop Budget'!$E$20,IF(F10&lt;300001,'Line Item Notes'!$B$8*'Oyster Crop Budget'!$E$20,IF(F10&lt;400001,'Line Item Notes'!$B$9*'Oyster Crop Budget'!$E$20,IF(F10&gt;400001,'Line Item Notes'!$B$10*'Oyster Crop Budget'!$E$20)))))</f>
        <v>29910.400000000001</v>
      </c>
      <c r="J20" s="31">
        <f>IF(F11&lt;100001,'Line Item Notes'!$B$6*'Oyster Crop Budget'!$E$20,IF(F11&lt;200001,'Line Item Notes'!$B$7*'Oyster Crop Budget'!$E$20,IF(F11&lt;300001,'Line Item Notes'!$B$8*'Oyster Crop Budget'!$E$20,IF(F11&lt;400001,'Line Item Notes'!$B$9*'Oyster Crop Budget'!$E$20,IF(F11&gt;400001,'Line Item Notes'!$B$10*'Oyster Crop Budget'!$E$20)))))</f>
        <v>29910.400000000001</v>
      </c>
      <c r="O20" s="24">
        <v>0.6</v>
      </c>
      <c r="P20">
        <v>-14470.596799999999</v>
      </c>
      <c r="Q20">
        <v>-14517.471799999999</v>
      </c>
      <c r="R20">
        <v>-14570.596799999999</v>
      </c>
      <c r="S20">
        <v>-14631.311085714289</v>
      </c>
      <c r="T20">
        <v>-14701.366030769233</v>
      </c>
      <c r="U20">
        <v>-14783.096799999999</v>
      </c>
      <c r="V20">
        <v>-14879.687709090911</v>
      </c>
      <c r="W20">
        <v>-14995.596799999999</v>
      </c>
      <c r="X20">
        <v>-15137.263466666671</v>
      </c>
      <c r="Y20">
        <v>-15314.346799999999</v>
      </c>
      <c r="Z20">
        <v>-15542.025371428572</v>
      </c>
      <c r="AA20">
        <v>-15845.596799999999</v>
      </c>
      <c r="AB20">
        <v>-16270.596799999999</v>
      </c>
    </row>
    <row r="21" spans="2:28" x14ac:dyDescent="0.25">
      <c r="B21" s="32" t="s">
        <v>29</v>
      </c>
      <c r="C21" s="30" t="s">
        <v>31</v>
      </c>
      <c r="D21" s="30" t="s">
        <v>28</v>
      </c>
      <c r="E21" s="27">
        <v>12.42</v>
      </c>
      <c r="F21" s="31">
        <f>IF(F7&lt;100001,'Line Item Notes'!$C$6*'Oyster Crop Budget'!$E$21,IF(F7&lt;200001,'Line Item Notes'!$C$7*'Oyster Crop Budget'!$E$21,IF(F7&lt;300001,'Line Item Notes'!$C$8*'Oyster Crop Budget'!$E$21,IF(F7&lt;400001,'Line Item Notes'!$C$9*'Oyster Crop Budget'!$E$21,IF(F7&gt;400001,'Line Item Notes'!$C$10*'Oyster Crop Budget'!$E$21)))))</f>
        <v>11923.2</v>
      </c>
      <c r="G21" s="31">
        <f>IF(F8&lt;100001,'Line Item Notes'!$C$6*'Oyster Crop Budget'!$E$21,IF(F8&lt;200001,'Line Item Notes'!$C$7*'Oyster Crop Budget'!$E$21,IF(F8&lt;300001,'Line Item Notes'!$C$8*'Oyster Crop Budget'!$E$21,IF(F8&lt;400001,'Line Item Notes'!$C$9*'Oyster Crop Budget'!$E$21,IF(F8&gt;400001,'Line Item Notes'!$C$10*'Oyster Crop Budget'!$E$21)))))</f>
        <v>11923.2</v>
      </c>
      <c r="H21" s="31">
        <f>IF(F9&lt;100001,'Line Item Notes'!$C$6*'Oyster Crop Budget'!$E$21,IF(F9&lt;200001,'Line Item Notes'!$C$7*'Oyster Crop Budget'!$E$21,IF(F9&lt;300001,'Line Item Notes'!$C$8*'Oyster Crop Budget'!$E$21,IF(F9&lt;400001,'Line Item Notes'!$C$9*'Oyster Crop Budget'!$E$21,IF(F9&gt;400001,'Line Item Notes'!$C$10*'Oyster Crop Budget'!$E$21)))))</f>
        <v>11923.2</v>
      </c>
      <c r="I21" s="31">
        <f>IF(F10&lt;100001,'Line Item Notes'!$C$6*'Oyster Crop Budget'!$E$21,IF(F10&lt;200001,'Line Item Notes'!$C$7*'Oyster Crop Budget'!$E$21,IF(F10&lt;300001,'Line Item Notes'!$C$8*'Oyster Crop Budget'!$E$21,IF(F10&lt;400001,'Line Item Notes'!$C$9*'Oyster Crop Budget'!$E$21,IF(F10&gt;400001,'Line Item Notes'!$C$10*'Oyster Crop Budget'!$E$21)))))</f>
        <v>0</v>
      </c>
      <c r="J21" s="31">
        <f>IF(F11&lt;100001,'Line Item Notes'!$C$6*'Oyster Crop Budget'!$E$21,IF(F11&lt;200001,'Line Item Notes'!$C$7*'Oyster Crop Budget'!$E$21,IF(F11&lt;300001,'Line Item Notes'!$C$8*'Oyster Crop Budget'!$E$21,IF(F11&lt;400001,'Line Item Notes'!$C$9*'Oyster Crop Budget'!$E$21,IF(F11&gt;400001,'Line Item Notes'!$C$10*'Oyster Crop Budget'!$E$21)))))</f>
        <v>0</v>
      </c>
      <c r="O21" s="24">
        <v>0.65</v>
      </c>
      <c r="P21">
        <v>-11970.596799999999</v>
      </c>
      <c r="Q21">
        <v>-12017.471799999999</v>
      </c>
      <c r="R21">
        <v>-12070.596799999999</v>
      </c>
      <c r="S21">
        <v>-12131.311085714289</v>
      </c>
      <c r="T21">
        <v>-12201.366030769233</v>
      </c>
      <c r="U21">
        <v>-12283.096799999999</v>
      </c>
      <c r="V21">
        <v>-12379.687709090911</v>
      </c>
      <c r="W21">
        <v>-12495.596799999999</v>
      </c>
      <c r="X21">
        <v>-12637.263466666671</v>
      </c>
      <c r="Y21">
        <v>-12814.346799999999</v>
      </c>
      <c r="Z21">
        <v>-13042.025371428572</v>
      </c>
      <c r="AA21">
        <v>-13345.596799999999</v>
      </c>
      <c r="AB21">
        <v>-13770.596799999999</v>
      </c>
    </row>
    <row r="22" spans="2:28" x14ac:dyDescent="0.25">
      <c r="B22" s="32" t="s">
        <v>50</v>
      </c>
      <c r="C22" s="30" t="s">
        <v>51</v>
      </c>
      <c r="D22" s="33">
        <v>7.6499999999999999E-2</v>
      </c>
      <c r="E22" s="34" t="s">
        <v>52</v>
      </c>
      <c r="F22" s="31">
        <f>SUM(F20:F21)*$D$22</f>
        <v>912.12480000000005</v>
      </c>
      <c r="G22" s="31">
        <f>SUM(G20:G21)*$D$22</f>
        <v>912.12480000000005</v>
      </c>
      <c r="H22" s="31">
        <f>SUM(H20:H21)*$D$22</f>
        <v>912.12480000000005</v>
      </c>
      <c r="I22" s="31">
        <f>SUM(I20:I21)*$D$22</f>
        <v>2288.1456000000003</v>
      </c>
      <c r="J22" s="31">
        <f>SUM(J20:J21)*$D$22</f>
        <v>2288.1456000000003</v>
      </c>
      <c r="O22" s="24">
        <v>0.7</v>
      </c>
      <c r="P22">
        <v>-9470.5967999999993</v>
      </c>
      <c r="Q22">
        <v>-9517.4717999999993</v>
      </c>
      <c r="R22">
        <v>-9570.5967999999993</v>
      </c>
      <c r="S22">
        <v>-9631.3110857142892</v>
      </c>
      <c r="T22">
        <v>-9701.3660307692335</v>
      </c>
      <c r="U22">
        <v>-9783.0967999999993</v>
      </c>
      <c r="V22">
        <v>-9879.6877090909111</v>
      </c>
      <c r="W22">
        <v>-9995.5967999999993</v>
      </c>
      <c r="X22">
        <v>-10137.263466666671</v>
      </c>
      <c r="Y22">
        <v>-10314.346799999999</v>
      </c>
      <c r="Z22">
        <v>-10542.025371428572</v>
      </c>
      <c r="AA22">
        <v>-10845.596799999999</v>
      </c>
      <c r="AB22">
        <v>-11270.596799999999</v>
      </c>
    </row>
    <row r="23" spans="2:28" x14ac:dyDescent="0.25">
      <c r="B23" s="32" t="s">
        <v>53</v>
      </c>
      <c r="C23" s="30" t="s">
        <v>54</v>
      </c>
      <c r="D23" s="30" t="s">
        <v>55</v>
      </c>
      <c r="E23" s="27">
        <v>2.25</v>
      </c>
      <c r="F23" s="27">
        <f>((F20+F21)/100)*$E$23</f>
        <v>268.27200000000005</v>
      </c>
      <c r="G23" s="27">
        <f>((G20+G21)/100)*$E$23</f>
        <v>268.27200000000005</v>
      </c>
      <c r="H23" s="27">
        <f>((H20+H21)/100)*$E$23</f>
        <v>268.27200000000005</v>
      </c>
      <c r="I23" s="27">
        <f>((I20+I21)/100)*$E$23</f>
        <v>672.98400000000015</v>
      </c>
      <c r="J23" s="27">
        <f>((J20+J21)/100)*$E$23</f>
        <v>672.98400000000015</v>
      </c>
      <c r="O23" s="24">
        <v>0.75</v>
      </c>
      <c r="P23">
        <v>-6970.5967999999993</v>
      </c>
      <c r="Q23">
        <v>-7017.4717999999993</v>
      </c>
      <c r="R23">
        <v>-7070.5967999999993</v>
      </c>
      <c r="S23">
        <v>-7131.3110857142892</v>
      </c>
      <c r="T23">
        <v>-7201.3660307692335</v>
      </c>
      <c r="U23">
        <v>-7283.0967999999993</v>
      </c>
      <c r="V23">
        <v>-7379.6877090909111</v>
      </c>
      <c r="W23">
        <v>-7495.5967999999993</v>
      </c>
      <c r="X23">
        <v>-7637.2634666666709</v>
      </c>
      <c r="Y23">
        <v>-7814.3467999999993</v>
      </c>
      <c r="Z23">
        <v>-8042.0253714285718</v>
      </c>
      <c r="AA23">
        <v>-8345.5967999999993</v>
      </c>
      <c r="AB23">
        <v>-8770.5967999999993</v>
      </c>
    </row>
    <row r="24" spans="2:28" x14ac:dyDescent="0.25">
      <c r="B24" s="32" t="s">
        <v>56</v>
      </c>
      <c r="C24" s="30" t="s">
        <v>57</v>
      </c>
      <c r="D24" s="25">
        <f>'Line Item Notes'!I14</f>
        <v>1000</v>
      </c>
      <c r="E24" s="27">
        <f>'Line Item Notes'!E14</f>
        <v>3.35</v>
      </c>
      <c r="F24" s="37">
        <f>ROUNDUP('Line Item Notes'!I14*'Oyster Crop Budget'!E24,0)</f>
        <v>3350</v>
      </c>
      <c r="G24" s="37">
        <f>ROUNDUP(E24*'Line Item Notes'!J14,0)</f>
        <v>3685</v>
      </c>
      <c r="H24" s="37">
        <f>ROUNDUP(E24*'Line Item Notes'!K14,0)</f>
        <v>4020</v>
      </c>
      <c r="I24" s="37">
        <f>ROUNDUP(E24*'Line Item Notes'!L14,0)</f>
        <v>4355</v>
      </c>
      <c r="J24" s="37">
        <f>ROUNDUP(E24*'Line Item Notes'!M14,0)</f>
        <v>4690</v>
      </c>
      <c r="K24" s="38"/>
      <c r="O24" s="24">
        <v>0.8</v>
      </c>
      <c r="P24">
        <v>-4470.5967999999993</v>
      </c>
      <c r="Q24">
        <v>-4517.4717999999993</v>
      </c>
      <c r="R24">
        <v>-4570.5967999999993</v>
      </c>
      <c r="S24">
        <v>-4631.3110857142892</v>
      </c>
      <c r="T24">
        <v>-4701.3660307692335</v>
      </c>
      <c r="U24">
        <v>-4783.0967999999993</v>
      </c>
      <c r="V24">
        <v>-4879.6877090909111</v>
      </c>
      <c r="W24">
        <v>-4995.5967999999993</v>
      </c>
      <c r="X24">
        <v>-5137.2634666666709</v>
      </c>
      <c r="Y24">
        <v>-5314.3467999999993</v>
      </c>
      <c r="Z24">
        <v>-5542.0253714285718</v>
      </c>
      <c r="AA24">
        <v>-5845.5967999999993</v>
      </c>
      <c r="AB24">
        <v>-6270.5967999999993</v>
      </c>
    </row>
    <row r="25" spans="2:28" x14ac:dyDescent="0.25">
      <c r="B25" s="32" t="s">
        <v>60</v>
      </c>
      <c r="C25" s="30" t="s">
        <v>57</v>
      </c>
      <c r="D25" s="23">
        <f>'Line Item Notes'!I15</f>
        <v>693</v>
      </c>
      <c r="E25" s="27">
        <f>'Line Item Notes'!E15</f>
        <v>2.15</v>
      </c>
      <c r="F25" s="37">
        <f>ROUNDUP($D$25*$E$25,0)</f>
        <v>1490</v>
      </c>
      <c r="G25" s="37">
        <f>ROUNDUP($D$25*$E$25,0)</f>
        <v>1490</v>
      </c>
      <c r="H25" s="37">
        <f>ROUNDUP($D$25*$E$25,0)</f>
        <v>1490</v>
      </c>
      <c r="I25" s="37">
        <f>ROUNDUP($D$25*$E$25,0)</f>
        <v>1490</v>
      </c>
      <c r="J25" s="37">
        <f>ROUNDUP($D$25*$E$25,0)</f>
        <v>1490</v>
      </c>
      <c r="O25" s="24">
        <v>0.85</v>
      </c>
      <c r="P25">
        <v>-1970.5967999999993</v>
      </c>
      <c r="Q25">
        <v>-2017.4717999999993</v>
      </c>
      <c r="R25">
        <v>-2070.5967999999993</v>
      </c>
      <c r="S25">
        <v>-2131.3110857142892</v>
      </c>
      <c r="T25">
        <v>-2201.3660307692335</v>
      </c>
      <c r="U25">
        <v>-2283.0967999999993</v>
      </c>
      <c r="V25">
        <v>-2379.6877090909111</v>
      </c>
      <c r="W25">
        <v>-2495.5967999999993</v>
      </c>
      <c r="X25">
        <v>-2637.2634666666709</v>
      </c>
      <c r="Y25">
        <v>-2814.3467999999993</v>
      </c>
      <c r="Z25">
        <v>-3042.0253714285718</v>
      </c>
      <c r="AA25">
        <v>-3345.5967999999993</v>
      </c>
      <c r="AB25">
        <v>-3770.5967999999993</v>
      </c>
    </row>
    <row r="26" spans="2:28" x14ac:dyDescent="0.25">
      <c r="B26" s="32" t="s">
        <v>68</v>
      </c>
      <c r="C26" s="30" t="s">
        <v>69</v>
      </c>
      <c r="D26" s="39">
        <v>1</v>
      </c>
      <c r="E26" s="115">
        <f>'Line Item Notes'!H19</f>
        <v>500</v>
      </c>
      <c r="F26" s="41">
        <f>$D$26*$E$26</f>
        <v>500</v>
      </c>
      <c r="G26" s="41">
        <f>$D$26*$E$26</f>
        <v>500</v>
      </c>
      <c r="H26" s="41">
        <f>$D$26*$E$26</f>
        <v>500</v>
      </c>
      <c r="I26" s="41">
        <f>$D$26*$E$26</f>
        <v>500</v>
      </c>
      <c r="J26" s="41">
        <f>$D$26*$E$26</f>
        <v>500</v>
      </c>
      <c r="K26" s="38"/>
      <c r="O26" s="24">
        <v>0.9</v>
      </c>
      <c r="P26">
        <v>529.40320000000065</v>
      </c>
      <c r="Q26">
        <v>482.52820000000065</v>
      </c>
      <c r="R26">
        <v>429.40320000000065</v>
      </c>
      <c r="S26">
        <v>368.68891428571078</v>
      </c>
      <c r="T26">
        <v>298.63396923076652</v>
      </c>
      <c r="U26">
        <v>216.90320000000065</v>
      </c>
      <c r="V26">
        <v>120.31229090908892</v>
      </c>
      <c r="W26">
        <v>4.4032000000006519</v>
      </c>
      <c r="X26">
        <v>-137.26346666667087</v>
      </c>
      <c r="Y26">
        <v>-314.34679999999935</v>
      </c>
      <c r="Z26">
        <v>-542.02537142857182</v>
      </c>
      <c r="AA26">
        <v>-845.59679999999935</v>
      </c>
      <c r="AB26">
        <v>-1270.5967999999993</v>
      </c>
    </row>
    <row r="27" spans="2:28" x14ac:dyDescent="0.25">
      <c r="B27" s="32" t="s">
        <v>70</v>
      </c>
      <c r="C27" s="30" t="s">
        <v>69</v>
      </c>
      <c r="D27" s="39">
        <v>1</v>
      </c>
      <c r="E27" s="40">
        <f>'Line Item Notes'!H20</f>
        <v>500</v>
      </c>
      <c r="F27" s="41">
        <f>$D$27*$E$27</f>
        <v>500</v>
      </c>
      <c r="G27" s="41">
        <f>$D$27*$E$27</f>
        <v>500</v>
      </c>
      <c r="H27" s="41">
        <f>$D$27*$E$27</f>
        <v>500</v>
      </c>
      <c r="I27" s="41">
        <f>$D$27*$E$27</f>
        <v>500</v>
      </c>
      <c r="J27" s="41">
        <f>$D$27*$E$27</f>
        <v>500</v>
      </c>
      <c r="K27" s="38"/>
      <c r="O27" s="24">
        <v>0.95</v>
      </c>
      <c r="P27">
        <v>3029.4032000000007</v>
      </c>
      <c r="Q27">
        <v>2982.5282000000007</v>
      </c>
      <c r="R27">
        <v>2929.4032000000007</v>
      </c>
      <c r="S27">
        <v>2868.6889142857108</v>
      </c>
      <c r="T27">
        <v>2798.6339692307665</v>
      </c>
      <c r="U27">
        <v>2716.9032000000007</v>
      </c>
      <c r="V27">
        <v>2620.3122909090889</v>
      </c>
      <c r="W27">
        <v>2504.4032000000007</v>
      </c>
      <c r="X27">
        <v>2362.7365333333291</v>
      </c>
      <c r="Y27">
        <v>2185.6532000000007</v>
      </c>
      <c r="Z27">
        <v>1957.9746285714282</v>
      </c>
      <c r="AA27">
        <v>1654.4032000000007</v>
      </c>
      <c r="AB27">
        <v>1229.4032000000007</v>
      </c>
    </row>
    <row r="28" spans="2:28" x14ac:dyDescent="0.25">
      <c r="B28" s="32" t="s">
        <v>71</v>
      </c>
      <c r="C28" s="30" t="s">
        <v>72</v>
      </c>
      <c r="D28" s="39">
        <v>1</v>
      </c>
      <c r="E28" s="27">
        <v>2925</v>
      </c>
      <c r="F28" s="27">
        <f>D28*E28</f>
        <v>2925</v>
      </c>
      <c r="G28" s="31">
        <v>0</v>
      </c>
      <c r="H28" s="31">
        <v>0</v>
      </c>
      <c r="I28" s="31">
        <v>0</v>
      </c>
      <c r="J28" s="31">
        <v>0</v>
      </c>
      <c r="O28" s="24">
        <v>1</v>
      </c>
      <c r="P28">
        <v>5529.4032000000007</v>
      </c>
      <c r="Q28">
        <v>5482.5282000000007</v>
      </c>
      <c r="R28">
        <v>5429.4032000000007</v>
      </c>
      <c r="S28">
        <v>5368.6889142857108</v>
      </c>
      <c r="T28">
        <v>5298.6339692307665</v>
      </c>
      <c r="U28">
        <v>5216.9032000000007</v>
      </c>
      <c r="V28">
        <v>5120.3122909090889</v>
      </c>
      <c r="W28">
        <v>5004.4032000000007</v>
      </c>
      <c r="X28">
        <v>4862.7365333333291</v>
      </c>
      <c r="Y28">
        <v>4685.6532000000007</v>
      </c>
      <c r="Z28">
        <v>4457.9746285714282</v>
      </c>
      <c r="AA28">
        <v>4154.4032000000007</v>
      </c>
      <c r="AB28">
        <v>3729.4032000000007</v>
      </c>
    </row>
    <row r="29" spans="2:28" x14ac:dyDescent="0.25">
      <c r="B29" s="32" t="s">
        <v>73</v>
      </c>
      <c r="C29" s="30" t="s">
        <v>74</v>
      </c>
      <c r="D29" s="39">
        <v>100</v>
      </c>
      <c r="E29" s="69">
        <f>'Line Item Notes'!B27</f>
        <v>0</v>
      </c>
      <c r="F29" s="68">
        <f>E29*$D$29</f>
        <v>0</v>
      </c>
      <c r="G29" s="68">
        <f>$E$29*($D$29+($C$11*1))</f>
        <v>0</v>
      </c>
      <c r="H29" s="68">
        <f>$E$29*($D$29+($C$11*2))</f>
        <v>0</v>
      </c>
      <c r="I29" s="68">
        <f>$E$29*($D$29+($C$11*3))</f>
        <v>0</v>
      </c>
      <c r="J29" s="68">
        <f>$E$29*($D$29+($C$11*4))</f>
        <v>0</v>
      </c>
    </row>
    <row r="30" spans="2:28" x14ac:dyDescent="0.25">
      <c r="B30" s="32" t="s">
        <v>75</v>
      </c>
      <c r="C30" s="30" t="s">
        <v>69</v>
      </c>
      <c r="D30" s="39">
        <v>1</v>
      </c>
      <c r="E30" s="69">
        <v>0</v>
      </c>
      <c r="F30" s="68">
        <f>$E$30*$D$30</f>
        <v>0</v>
      </c>
      <c r="G30" s="68">
        <f>$E$30*$D$30</f>
        <v>0</v>
      </c>
      <c r="H30" s="68">
        <f>$E$30*$D$30</f>
        <v>0</v>
      </c>
      <c r="I30" s="68">
        <f>$E$30*$D$30</f>
        <v>0</v>
      </c>
      <c r="J30" s="68">
        <f>$E$30*$D$30</f>
        <v>0</v>
      </c>
    </row>
    <row r="31" spans="2:28" x14ac:dyDescent="0.25">
      <c r="B31" s="32" t="s">
        <v>76</v>
      </c>
      <c r="C31" s="30" t="s">
        <v>69</v>
      </c>
      <c r="D31" s="39">
        <v>1</v>
      </c>
      <c r="E31" s="69">
        <v>0</v>
      </c>
      <c r="F31" s="68">
        <f>$E$31*$D$31</f>
        <v>0</v>
      </c>
      <c r="G31" s="68">
        <f>$E$31*$D$31</f>
        <v>0</v>
      </c>
      <c r="H31" s="68">
        <f>$E$31*$D$31</f>
        <v>0</v>
      </c>
      <c r="I31" s="68">
        <f>$E$31*$D$31</f>
        <v>0</v>
      </c>
      <c r="J31" s="68">
        <f>$E$31*$D$31</f>
        <v>0</v>
      </c>
      <c r="N31" t="s">
        <v>166</v>
      </c>
      <c r="O31" s="24">
        <f>G68</f>
        <v>-3898.3467999999993</v>
      </c>
      <c r="P31" s="109">
        <v>0.15</v>
      </c>
      <c r="Q31" s="109">
        <v>0.2</v>
      </c>
      <c r="R31" s="109">
        <v>0.25</v>
      </c>
      <c r="S31" s="109">
        <v>0.3</v>
      </c>
      <c r="T31" s="109">
        <v>0.35</v>
      </c>
      <c r="U31" s="109">
        <v>0.4</v>
      </c>
      <c r="V31" s="109">
        <v>0.45</v>
      </c>
      <c r="W31" s="109">
        <v>0.5</v>
      </c>
      <c r="X31" s="109">
        <v>0.55000000000000004</v>
      </c>
      <c r="Y31" s="109">
        <v>0.6</v>
      </c>
      <c r="Z31" s="109">
        <v>0.65</v>
      </c>
      <c r="AA31" s="109">
        <v>0.7</v>
      </c>
      <c r="AB31" s="109">
        <v>0.75</v>
      </c>
    </row>
    <row r="32" spans="2:28" x14ac:dyDescent="0.25">
      <c r="B32" s="32" t="s">
        <v>77</v>
      </c>
      <c r="C32" s="30" t="s">
        <v>69</v>
      </c>
      <c r="D32" s="39">
        <v>1</v>
      </c>
      <c r="E32" s="69">
        <v>0</v>
      </c>
      <c r="F32" s="68">
        <f>$E$32*$D$32</f>
        <v>0</v>
      </c>
      <c r="G32" s="68">
        <f>$E$32*$D$32</f>
        <v>0</v>
      </c>
      <c r="H32" s="68">
        <f>$E$32*$D$32</f>
        <v>0</v>
      </c>
      <c r="I32" s="68">
        <f>$E$32*$D$32</f>
        <v>0</v>
      </c>
      <c r="J32" s="68">
        <f>$E$32*$D$32</f>
        <v>0</v>
      </c>
      <c r="M32" s="71"/>
      <c r="O32" s="24">
        <v>0.35</v>
      </c>
      <c r="P32">
        <f t="dataTable" ref="P32:AB45" dt2D="1" dtr="1" r1="C9" r2="C8" ca="1"/>
        <v>-8679.5967999999993</v>
      </c>
      <c r="Q32">
        <v>-8749.9092999999993</v>
      </c>
      <c r="R32">
        <v>-8829.5967999999993</v>
      </c>
      <c r="S32">
        <v>-8920.6682285714269</v>
      </c>
      <c r="T32">
        <v>-9025.7506461538433</v>
      </c>
      <c r="U32">
        <v>-9148.3467999999993</v>
      </c>
      <c r="V32">
        <v>-9293.233163636367</v>
      </c>
      <c r="W32">
        <v>-9467.0967999999993</v>
      </c>
      <c r="X32">
        <v>-9679.5967999999993</v>
      </c>
      <c r="Y32">
        <v>-9945.2217999999993</v>
      </c>
      <c r="Z32">
        <v>-10286.739657142854</v>
      </c>
      <c r="AA32">
        <v>-10742.096799999999</v>
      </c>
      <c r="AB32">
        <v>-11379.596799999999</v>
      </c>
    </row>
    <row r="33" spans="2:28" x14ac:dyDescent="0.25">
      <c r="B33" s="23"/>
      <c r="C33" s="23"/>
      <c r="D33" s="23"/>
      <c r="E33" s="23"/>
      <c r="F33" s="23"/>
      <c r="G33" s="23"/>
      <c r="H33" s="23"/>
      <c r="I33" s="23"/>
      <c r="J33" s="23"/>
      <c r="O33" s="24">
        <v>0.4</v>
      </c>
      <c r="P33">
        <v>-4929.5967999999993</v>
      </c>
      <c r="Q33">
        <v>-4999.9092999999993</v>
      </c>
      <c r="R33">
        <v>-5079.5967999999993</v>
      </c>
      <c r="S33">
        <v>-5170.6682285714269</v>
      </c>
      <c r="T33">
        <v>-5275.7506461538433</v>
      </c>
      <c r="U33">
        <v>-5398.3467999999993</v>
      </c>
      <c r="V33">
        <v>-5543.233163636367</v>
      </c>
      <c r="W33">
        <v>-5717.0967999999993</v>
      </c>
      <c r="X33">
        <v>-5929.5967999999993</v>
      </c>
      <c r="Y33">
        <v>-6195.2217999999993</v>
      </c>
      <c r="Z33">
        <v>-6536.7396571428544</v>
      </c>
      <c r="AA33">
        <v>-6992.0967999999993</v>
      </c>
      <c r="AB33">
        <v>-7629.5967999999993</v>
      </c>
    </row>
    <row r="34" spans="2:28" x14ac:dyDescent="0.25">
      <c r="B34" s="22" t="s">
        <v>88</v>
      </c>
      <c r="C34" s="23"/>
      <c r="D34" s="23"/>
      <c r="E34" s="23"/>
      <c r="F34" s="27">
        <f>SUM(F19:F33)</f>
        <v>22931.096799999999</v>
      </c>
      <c r="G34" s="27">
        <f>SUM(G19:G33)</f>
        <v>20872.346799999999</v>
      </c>
      <c r="H34" s="27">
        <f>SUM(H19:H33)</f>
        <v>21738.596799999999</v>
      </c>
      <c r="I34" s="27">
        <f>SUM(I19:I33)</f>
        <v>42372.779600000002</v>
      </c>
      <c r="J34" s="27">
        <f>SUM(J19:J33)</f>
        <v>43239.029600000002</v>
      </c>
      <c r="O34" s="24">
        <v>0.45</v>
      </c>
      <c r="P34">
        <v>-1179.5967999999993</v>
      </c>
      <c r="Q34">
        <v>-1249.9092999999993</v>
      </c>
      <c r="R34">
        <v>-1329.5967999999993</v>
      </c>
      <c r="S34">
        <v>-1420.6682285714269</v>
      </c>
      <c r="T34">
        <v>-1525.7506461538433</v>
      </c>
      <c r="U34">
        <v>-1648.3467999999993</v>
      </c>
      <c r="V34">
        <v>-1793.233163636367</v>
      </c>
      <c r="W34">
        <v>-1967.0967999999993</v>
      </c>
      <c r="X34">
        <v>-2179.5967999999993</v>
      </c>
      <c r="Y34">
        <v>-2445.2217999999993</v>
      </c>
      <c r="Z34">
        <v>-2786.7396571428544</v>
      </c>
      <c r="AA34">
        <v>-3242.0967999999993</v>
      </c>
      <c r="AB34">
        <v>-3879.5967999999993</v>
      </c>
    </row>
    <row r="35" spans="2:28" x14ac:dyDescent="0.25">
      <c r="B35" s="23" t="s">
        <v>89</v>
      </c>
      <c r="C35" s="23"/>
      <c r="D35" s="23"/>
      <c r="E35" s="23"/>
      <c r="F35" s="70">
        <f>F16/F34</f>
        <v>0.91578698494700872</v>
      </c>
      <c r="G35" s="70">
        <f>G16/G34</f>
        <v>1.5091738510209116</v>
      </c>
      <c r="H35" s="70">
        <f>H16/H34</f>
        <v>1.9320474263545844</v>
      </c>
      <c r="I35" s="70">
        <f>I16/I34</f>
        <v>1.2390029753913052</v>
      </c>
      <c r="J35" s="70">
        <f>J16/J34</f>
        <v>1.4570169724623052</v>
      </c>
      <c r="O35" s="24">
        <v>0.5</v>
      </c>
      <c r="P35">
        <v>2570.4032000000007</v>
      </c>
      <c r="Q35">
        <v>2500.0907000000007</v>
      </c>
      <c r="R35">
        <v>2420.4032000000007</v>
      </c>
      <c r="S35">
        <v>2329.3317714285731</v>
      </c>
      <c r="T35">
        <v>2224.2493538461567</v>
      </c>
      <c r="U35">
        <v>2101.6532000000007</v>
      </c>
      <c r="V35">
        <v>1956.766836363633</v>
      </c>
      <c r="W35">
        <v>1782.9032000000007</v>
      </c>
      <c r="X35">
        <v>1570.4032000000007</v>
      </c>
      <c r="Y35">
        <v>1304.7782000000007</v>
      </c>
      <c r="Z35">
        <v>963.26034285714559</v>
      </c>
      <c r="AA35">
        <v>507.90320000000065</v>
      </c>
      <c r="AB35">
        <v>-129.59679999999935</v>
      </c>
    </row>
    <row r="36" spans="2:28" x14ac:dyDescent="0.25">
      <c r="O36" s="24">
        <v>0.55000000000000004</v>
      </c>
      <c r="P36">
        <v>6320.4032000000007</v>
      </c>
      <c r="Q36">
        <v>6250.0907000000007</v>
      </c>
      <c r="R36">
        <v>6170.4032000000007</v>
      </c>
      <c r="S36">
        <v>6079.3317714285731</v>
      </c>
      <c r="T36">
        <v>5974.2493538461567</v>
      </c>
      <c r="U36">
        <v>5851.6532000000007</v>
      </c>
      <c r="V36">
        <v>5706.766836363633</v>
      </c>
      <c r="W36">
        <v>5532.9032000000007</v>
      </c>
      <c r="X36">
        <v>5320.4032000000007</v>
      </c>
      <c r="Y36">
        <v>5054.7782000000007</v>
      </c>
      <c r="Z36">
        <v>4713.2603428571456</v>
      </c>
      <c r="AA36">
        <v>4257.9032000000007</v>
      </c>
      <c r="AB36">
        <v>3620.4032000000007</v>
      </c>
    </row>
    <row r="37" spans="2:28" x14ac:dyDescent="0.25">
      <c r="B37" s="73" t="s">
        <v>90</v>
      </c>
      <c r="C37" s="72"/>
      <c r="D37" s="72"/>
      <c r="E37" s="72"/>
      <c r="F37" s="72"/>
      <c r="G37" s="72"/>
      <c r="H37" s="72"/>
      <c r="I37" s="72"/>
      <c r="J37" s="72"/>
      <c r="O37" s="24">
        <v>0.6</v>
      </c>
      <c r="P37">
        <v>10070.403200000001</v>
      </c>
      <c r="Q37">
        <v>10000.090700000001</v>
      </c>
      <c r="R37">
        <v>9920.4032000000007</v>
      </c>
      <c r="S37">
        <v>9829.3317714285731</v>
      </c>
      <c r="T37">
        <v>9724.2493538461567</v>
      </c>
      <c r="U37">
        <v>9601.6532000000007</v>
      </c>
      <c r="V37">
        <v>9456.766836363633</v>
      </c>
      <c r="W37">
        <v>9282.9032000000007</v>
      </c>
      <c r="X37">
        <v>9070.4032000000007</v>
      </c>
      <c r="Y37">
        <v>8804.7782000000007</v>
      </c>
      <c r="Z37">
        <v>8463.2603428571456</v>
      </c>
      <c r="AA37">
        <v>8007.9032000000007</v>
      </c>
      <c r="AB37">
        <v>7370.4032000000007</v>
      </c>
    </row>
    <row r="38" spans="2:28" x14ac:dyDescent="0.25">
      <c r="B38" s="72" t="s">
        <v>91</v>
      </c>
      <c r="C38" s="72" t="s">
        <v>93</v>
      </c>
      <c r="D38" s="72">
        <v>1</v>
      </c>
      <c r="E38" s="72"/>
      <c r="F38" s="78">
        <f>ROUNDUP('Line Item Notes'!H32+'Line Item Notes'!H38,0)</f>
        <v>1615</v>
      </c>
      <c r="G38" s="78">
        <f>ROUNDUP('Line Item Notes'!H33+'Line Item Notes'!H39,0)</f>
        <v>1399</v>
      </c>
      <c r="H38" s="78">
        <f>ROUNDUP('Line Item Notes'!H34+'Line Item Notes'!H40,0)</f>
        <v>1173</v>
      </c>
      <c r="I38" s="78">
        <f>ROUNDUP('Line Item Notes'!H35+'Line Item Notes'!H41,0)</f>
        <v>936</v>
      </c>
      <c r="J38" s="78">
        <f>ROUNDUP('Line Item Notes'!H36+'Line Item Notes'!H42,0)</f>
        <v>687</v>
      </c>
      <c r="O38" s="24">
        <v>0.65</v>
      </c>
      <c r="P38">
        <v>13820.403200000001</v>
      </c>
      <c r="Q38">
        <v>13750.090700000001</v>
      </c>
      <c r="R38">
        <v>13670.403200000001</v>
      </c>
      <c r="S38">
        <v>13579.331771428573</v>
      </c>
      <c r="T38">
        <v>13474.249353846157</v>
      </c>
      <c r="U38">
        <v>13351.653200000001</v>
      </c>
      <c r="V38">
        <v>13206.766836363633</v>
      </c>
      <c r="W38">
        <v>13032.903200000001</v>
      </c>
      <c r="X38">
        <v>12820.403200000001</v>
      </c>
      <c r="Y38">
        <v>12554.778200000001</v>
      </c>
      <c r="Z38">
        <v>12213.260342857146</v>
      </c>
      <c r="AA38">
        <v>11757.903200000001</v>
      </c>
      <c r="AB38">
        <v>11120.403200000001</v>
      </c>
    </row>
    <row r="39" spans="2:28" x14ac:dyDescent="0.25">
      <c r="B39" s="72" t="s">
        <v>92</v>
      </c>
      <c r="C39" s="72" t="s">
        <v>93</v>
      </c>
      <c r="D39" s="72">
        <v>1</v>
      </c>
      <c r="E39" s="72"/>
      <c r="F39" s="78">
        <f>ROUNDUP('Line Item Notes'!G32+'Line Item Notes'!G38,0)</f>
        <v>4442</v>
      </c>
      <c r="G39" s="78">
        <f>ROUNDUP('Line Item Notes'!G33+'Line Item Notes'!G39,0)</f>
        <v>4657</v>
      </c>
      <c r="H39" s="78">
        <f>ROUNDUP('Line Item Notes'!G34+'Line Item Notes'!G40,0)</f>
        <v>4883</v>
      </c>
      <c r="I39" s="78">
        <f>ROUNDUP('Line Item Notes'!G35+'Line Item Notes'!G41,0)</f>
        <v>5120</v>
      </c>
      <c r="J39" s="78">
        <f>ROUNDUP('Line Item Notes'!G36+'Line Item Notes'!G42,0)</f>
        <v>5369</v>
      </c>
      <c r="O39" s="24">
        <v>0.7</v>
      </c>
      <c r="P39">
        <v>17570.403200000001</v>
      </c>
      <c r="Q39">
        <v>17500.090700000001</v>
      </c>
      <c r="R39">
        <v>17420.403200000001</v>
      </c>
      <c r="S39">
        <v>17329.331771428573</v>
      </c>
      <c r="T39">
        <v>17224.249353846157</v>
      </c>
      <c r="U39">
        <v>17101.653200000001</v>
      </c>
      <c r="V39">
        <v>16956.766836363633</v>
      </c>
      <c r="W39">
        <v>16782.903200000001</v>
      </c>
      <c r="X39">
        <v>16570.403200000001</v>
      </c>
      <c r="Y39">
        <v>16304.778200000001</v>
      </c>
      <c r="Z39">
        <v>15963.260342857146</v>
      </c>
      <c r="AA39">
        <v>15507.903200000001</v>
      </c>
      <c r="AB39">
        <v>14870.403200000001</v>
      </c>
    </row>
    <row r="40" spans="2:28" x14ac:dyDescent="0.25">
      <c r="B40" s="72" t="s">
        <v>117</v>
      </c>
      <c r="C40" s="72" t="s">
        <v>118</v>
      </c>
      <c r="D40" s="72">
        <v>1</v>
      </c>
      <c r="E40" s="78">
        <v>350</v>
      </c>
      <c r="F40" s="78">
        <f t="shared" ref="F40:F45" si="0">ROUNDUP(D40*E40,0)</f>
        <v>350</v>
      </c>
      <c r="G40" s="78">
        <f>ROUNDUP($E$40*$D$40,0)</f>
        <v>350</v>
      </c>
      <c r="H40" s="78">
        <f>ROUNDUP($E$40*$D$40,0)</f>
        <v>350</v>
      </c>
      <c r="I40" s="78">
        <f>ROUNDUP($E$40*$D$40,0)</f>
        <v>350</v>
      </c>
      <c r="J40" s="78">
        <f>ROUNDUP($E$40*$D$40,0)</f>
        <v>350</v>
      </c>
      <c r="O40" s="24">
        <v>0.75</v>
      </c>
      <c r="P40">
        <v>21320.403200000001</v>
      </c>
      <c r="Q40">
        <v>21250.090700000001</v>
      </c>
      <c r="R40">
        <v>21170.403200000001</v>
      </c>
      <c r="S40">
        <v>21079.331771428573</v>
      </c>
      <c r="T40">
        <v>20974.249353846157</v>
      </c>
      <c r="U40">
        <v>20851.653200000001</v>
      </c>
      <c r="V40">
        <v>20706.766836363633</v>
      </c>
      <c r="W40">
        <v>20532.903200000001</v>
      </c>
      <c r="X40">
        <v>20320.403200000001</v>
      </c>
      <c r="Y40">
        <v>20054.778200000001</v>
      </c>
      <c r="Z40">
        <v>19713.260342857146</v>
      </c>
      <c r="AA40">
        <v>19257.903200000001</v>
      </c>
      <c r="AB40">
        <v>18620.403200000001</v>
      </c>
    </row>
    <row r="41" spans="2:28" x14ac:dyDescent="0.25">
      <c r="B41" s="72" t="s">
        <v>119</v>
      </c>
      <c r="C41" s="72" t="s">
        <v>118</v>
      </c>
      <c r="D41" s="72">
        <v>1</v>
      </c>
      <c r="E41" s="78">
        <v>700</v>
      </c>
      <c r="F41" s="78">
        <f t="shared" si="0"/>
        <v>700</v>
      </c>
      <c r="G41" s="78">
        <f>ROUNDUP($D$41*$E$41,0)</f>
        <v>700</v>
      </c>
      <c r="H41" s="78">
        <f>ROUNDUP($D$41*$E$41,0)</f>
        <v>700</v>
      </c>
      <c r="I41" s="78">
        <f>ROUNDUP($D$41*$E$41,0)</f>
        <v>700</v>
      </c>
      <c r="J41" s="78">
        <f>ROUNDUP($D$41*$E$41,0)</f>
        <v>700</v>
      </c>
      <c r="O41" s="24">
        <v>0.8</v>
      </c>
      <c r="P41">
        <v>25070.403200000001</v>
      </c>
      <c r="Q41">
        <v>25000.090700000001</v>
      </c>
      <c r="R41">
        <v>24920.403200000001</v>
      </c>
      <c r="S41">
        <v>24829.331771428573</v>
      </c>
      <c r="T41">
        <v>24724.249353846157</v>
      </c>
      <c r="U41">
        <v>24601.653200000001</v>
      </c>
      <c r="V41">
        <v>24456.766836363633</v>
      </c>
      <c r="W41">
        <v>24282.903200000001</v>
      </c>
      <c r="X41">
        <v>24070.403200000001</v>
      </c>
      <c r="Y41">
        <v>23804.778200000001</v>
      </c>
      <c r="Z41">
        <v>23463.260342857146</v>
      </c>
      <c r="AA41">
        <v>23007.903200000001</v>
      </c>
      <c r="AB41">
        <v>22370.403200000001</v>
      </c>
    </row>
    <row r="42" spans="2:28" x14ac:dyDescent="0.25">
      <c r="B42" s="72" t="s">
        <v>120</v>
      </c>
      <c r="C42" s="72" t="s">
        <v>121</v>
      </c>
      <c r="D42" s="72">
        <v>1</v>
      </c>
      <c r="E42" s="78">
        <v>400</v>
      </c>
      <c r="F42" s="78">
        <f t="shared" si="0"/>
        <v>400</v>
      </c>
      <c r="G42" s="78">
        <f>ROUNDUP($D$42*$E$42,0)</f>
        <v>400</v>
      </c>
      <c r="H42" s="78">
        <f>ROUNDUP($D$42*$E$42,0)</f>
        <v>400</v>
      </c>
      <c r="I42" s="78">
        <f>ROUNDUP($D$42*$E$42,0)</f>
        <v>400</v>
      </c>
      <c r="J42" s="78">
        <f>ROUNDUP($D$42*$E$42,0)</f>
        <v>400</v>
      </c>
      <c r="O42" s="24">
        <v>0.85</v>
      </c>
      <c r="P42">
        <v>28820.403200000001</v>
      </c>
      <c r="Q42">
        <v>28750.090700000001</v>
      </c>
      <c r="R42">
        <v>28670.403200000001</v>
      </c>
      <c r="S42">
        <v>28579.331771428573</v>
      </c>
      <c r="T42">
        <v>28474.249353846157</v>
      </c>
      <c r="U42">
        <v>28351.653200000001</v>
      </c>
      <c r="V42">
        <v>28206.766836363633</v>
      </c>
      <c r="W42">
        <v>28032.903200000001</v>
      </c>
      <c r="X42">
        <v>27820.403200000001</v>
      </c>
      <c r="Y42">
        <v>27554.778200000001</v>
      </c>
      <c r="Z42">
        <v>27213.260342857146</v>
      </c>
      <c r="AA42">
        <v>26757.903200000001</v>
      </c>
      <c r="AB42">
        <v>26120.403200000001</v>
      </c>
    </row>
    <row r="43" spans="2:28" x14ac:dyDescent="0.25">
      <c r="B43" s="72" t="s">
        <v>122</v>
      </c>
      <c r="C43" s="72" t="s">
        <v>118</v>
      </c>
      <c r="D43" s="72">
        <v>1</v>
      </c>
      <c r="E43" s="119" t="s">
        <v>177</v>
      </c>
      <c r="F43" s="78">
        <f>ROUNDUP(D43*'Line Item Notes'!H22,0)</f>
        <v>500</v>
      </c>
      <c r="G43" s="78">
        <f>ROUNDUP(D43*'Line Item Notes'!H23,0)</f>
        <v>100</v>
      </c>
      <c r="H43" s="78">
        <f>ROUNDUP(D43*'Line Item Notes'!H23,0)</f>
        <v>100</v>
      </c>
      <c r="I43" s="78">
        <f>ROUNDUP(D43*'Line Item Notes'!H23,0)</f>
        <v>100</v>
      </c>
      <c r="J43" s="78">
        <f>ROUNDUP(D43*'Line Item Notes'!H23,0)</f>
        <v>100</v>
      </c>
      <c r="K43" s="38"/>
      <c r="O43" s="24">
        <v>0.9</v>
      </c>
      <c r="P43">
        <v>32570.403200000001</v>
      </c>
      <c r="Q43">
        <v>32500.090700000001</v>
      </c>
      <c r="R43">
        <v>32420.403200000001</v>
      </c>
      <c r="S43">
        <v>32329.331771428573</v>
      </c>
      <c r="T43">
        <v>32224.249353846157</v>
      </c>
      <c r="U43">
        <v>32101.653200000001</v>
      </c>
      <c r="V43">
        <v>31956.766836363633</v>
      </c>
      <c r="W43">
        <v>31782.903200000001</v>
      </c>
      <c r="X43">
        <v>31570.403200000001</v>
      </c>
      <c r="Y43">
        <v>31304.778200000001</v>
      </c>
      <c r="Z43">
        <v>30963.260342857146</v>
      </c>
      <c r="AA43">
        <v>30507.903200000001</v>
      </c>
      <c r="AB43">
        <v>29870.403200000001</v>
      </c>
    </row>
    <row r="44" spans="2:28" x14ac:dyDescent="0.25">
      <c r="B44" s="72" t="s">
        <v>123</v>
      </c>
      <c r="C44" s="72" t="s">
        <v>118</v>
      </c>
      <c r="D44" s="72">
        <v>1</v>
      </c>
      <c r="E44" s="78">
        <v>50</v>
      </c>
      <c r="F44" s="78">
        <f t="shared" si="0"/>
        <v>50</v>
      </c>
      <c r="G44" s="78">
        <f>ROUNDUP($D$44*$E$44,0)</f>
        <v>50</v>
      </c>
      <c r="H44" s="78">
        <f>ROUNDUP($D$44*$E$44,0)</f>
        <v>50</v>
      </c>
      <c r="I44" s="78">
        <f>ROUNDUP($D$44*$E$44,0)</f>
        <v>50</v>
      </c>
      <c r="J44" s="78">
        <f>ROUNDUP($D$44*$E$44,0)</f>
        <v>50</v>
      </c>
      <c r="O44" s="24">
        <v>0.95</v>
      </c>
      <c r="P44">
        <v>36320.403200000001</v>
      </c>
      <c r="Q44">
        <v>36250.090700000001</v>
      </c>
      <c r="R44">
        <v>36170.403200000001</v>
      </c>
      <c r="S44">
        <v>36079.331771428573</v>
      </c>
      <c r="T44">
        <v>35974.249353846157</v>
      </c>
      <c r="U44">
        <v>35851.653200000001</v>
      </c>
      <c r="V44">
        <v>35706.766836363633</v>
      </c>
      <c r="W44">
        <v>35532.903200000001</v>
      </c>
      <c r="X44">
        <v>35320.403200000001</v>
      </c>
      <c r="Y44">
        <v>35054.778200000001</v>
      </c>
      <c r="Z44">
        <v>34713.260342857146</v>
      </c>
      <c r="AA44">
        <v>34257.903200000001</v>
      </c>
      <c r="AB44">
        <v>33620.403200000001</v>
      </c>
    </row>
    <row r="45" spans="2:28" x14ac:dyDescent="0.25">
      <c r="B45" s="72" t="s">
        <v>124</v>
      </c>
      <c r="C45" s="72" t="s">
        <v>118</v>
      </c>
      <c r="D45" s="72">
        <v>1</v>
      </c>
      <c r="E45" s="78">
        <v>300</v>
      </c>
      <c r="F45" s="78">
        <f t="shared" si="0"/>
        <v>300</v>
      </c>
      <c r="G45" s="78">
        <f>ROUNDUP($D$45*$E$45,0)</f>
        <v>300</v>
      </c>
      <c r="H45" s="78">
        <f>ROUNDUP($D$45*$E$45,0)</f>
        <v>300</v>
      </c>
      <c r="I45" s="78">
        <f>ROUNDUP($D$45*$E$45,0)</f>
        <v>300</v>
      </c>
      <c r="J45" s="78">
        <f>ROUNDUP($D$45*$E$45,0)</f>
        <v>300</v>
      </c>
      <c r="O45" s="24">
        <v>1</v>
      </c>
      <c r="P45">
        <v>40070.403200000001</v>
      </c>
      <c r="Q45">
        <v>40000.090700000001</v>
      </c>
      <c r="R45">
        <v>39920.403200000001</v>
      </c>
      <c r="S45">
        <v>39829.331771428573</v>
      </c>
      <c r="T45">
        <v>39724.249353846157</v>
      </c>
      <c r="U45">
        <v>39601.653200000001</v>
      </c>
      <c r="V45">
        <v>39456.766836363633</v>
      </c>
      <c r="W45">
        <v>39282.903200000001</v>
      </c>
      <c r="X45">
        <v>39070.403200000001</v>
      </c>
      <c r="Y45">
        <v>38804.778200000001</v>
      </c>
      <c r="Z45">
        <v>38463.260342857146</v>
      </c>
      <c r="AA45">
        <v>38007.903200000001</v>
      </c>
      <c r="AB45">
        <v>37370.403200000001</v>
      </c>
    </row>
    <row r="46" spans="2:28" x14ac:dyDescent="0.25">
      <c r="B46" s="72" t="s">
        <v>125</v>
      </c>
      <c r="C46" s="72" t="s">
        <v>118</v>
      </c>
      <c r="D46" s="72">
        <v>1</v>
      </c>
      <c r="E46" s="78">
        <f>(0.02*'Line Item Notes'!$B$32)</f>
        <v>400</v>
      </c>
      <c r="F46" s="78">
        <f>(0.02*'Line Item Notes'!$B$32)</f>
        <v>400</v>
      </c>
      <c r="G46" s="78">
        <f>(0.02*'Line Item Notes'!$B$32)</f>
        <v>400</v>
      </c>
      <c r="H46" s="78">
        <f>(0.02*'Line Item Notes'!$B$32)</f>
        <v>400</v>
      </c>
      <c r="I46" s="78">
        <f>(0.02*'Line Item Notes'!$B$32)</f>
        <v>400</v>
      </c>
      <c r="J46" s="78">
        <f>(0.02*'Line Item Notes'!$B$32)</f>
        <v>400</v>
      </c>
    </row>
    <row r="47" spans="2:28" x14ac:dyDescent="0.25">
      <c r="B47" s="72" t="s">
        <v>126</v>
      </c>
      <c r="C47" s="72" t="s">
        <v>127</v>
      </c>
      <c r="D47" s="72">
        <v>1</v>
      </c>
      <c r="E47" s="78">
        <f>'Line Item Notes'!C46</f>
        <v>2200</v>
      </c>
      <c r="F47" s="78">
        <f>D47*E47</f>
        <v>2200</v>
      </c>
      <c r="G47" s="83">
        <v>0</v>
      </c>
      <c r="H47" s="83">
        <v>0</v>
      </c>
      <c r="I47" s="83">
        <v>0</v>
      </c>
      <c r="J47" s="83">
        <v>0</v>
      </c>
      <c r="N47" t="s">
        <v>14</v>
      </c>
      <c r="O47" s="24">
        <f>H68</f>
        <v>5635.4032000000007</v>
      </c>
      <c r="P47">
        <v>0.15</v>
      </c>
      <c r="Q47">
        <v>0.2</v>
      </c>
      <c r="R47">
        <v>0.25</v>
      </c>
      <c r="S47">
        <v>0.3</v>
      </c>
      <c r="T47">
        <v>0.35</v>
      </c>
      <c r="U47">
        <v>0.4</v>
      </c>
      <c r="V47">
        <v>0.45</v>
      </c>
      <c r="W47">
        <v>0.5</v>
      </c>
      <c r="X47">
        <v>0.55000000000000004</v>
      </c>
      <c r="Y47">
        <v>0.6</v>
      </c>
      <c r="Z47">
        <v>0.65</v>
      </c>
      <c r="AA47">
        <v>0.7</v>
      </c>
      <c r="AB47">
        <v>0.75</v>
      </c>
    </row>
    <row r="48" spans="2:28" x14ac:dyDescent="0.25">
      <c r="B48" s="72" t="s">
        <v>191</v>
      </c>
      <c r="C48" s="72" t="s">
        <v>118</v>
      </c>
      <c r="D48" s="72">
        <f>C10</f>
        <v>200</v>
      </c>
      <c r="E48" s="78">
        <f>'Line Item Notes'!C49</f>
        <v>30</v>
      </c>
      <c r="F48" s="78">
        <f>D48*E48</f>
        <v>6000</v>
      </c>
      <c r="G48" s="78">
        <f>$E$48*$C$11</f>
        <v>3000</v>
      </c>
      <c r="H48" s="78">
        <f>$E$48*$C$11</f>
        <v>3000</v>
      </c>
      <c r="I48" s="78">
        <f>$E$48*$C$11</f>
        <v>3000</v>
      </c>
      <c r="J48" s="78">
        <f>$E$48*$C$11</f>
        <v>3000</v>
      </c>
      <c r="O48" s="24">
        <v>0.35</v>
      </c>
      <c r="P48">
        <f t="dataTable" ref="P48:AB61" dt2D="1" dtr="1" r1="C9" r2="C8" ca="1"/>
        <v>-739.59679999999935</v>
      </c>
      <c r="Q48">
        <v>-833.34679999999935</v>
      </c>
      <c r="R48">
        <v>-939.59679999999935</v>
      </c>
      <c r="S48">
        <v>-1061.0253714285718</v>
      </c>
      <c r="T48">
        <v>-1201.1352615384603</v>
      </c>
      <c r="U48">
        <v>-1364.5967999999993</v>
      </c>
      <c r="V48">
        <v>-1557.7786181818228</v>
      </c>
      <c r="W48">
        <v>-1789.5967999999993</v>
      </c>
      <c r="X48">
        <v>-2072.9301333333351</v>
      </c>
      <c r="Y48">
        <v>-2427.0967999999993</v>
      </c>
      <c r="Z48">
        <v>-2882.4539428571443</v>
      </c>
      <c r="AA48">
        <v>-3489.5967999999993</v>
      </c>
      <c r="AB48">
        <v>-4339.5967999999993</v>
      </c>
    </row>
    <row r="49" spans="2:28" x14ac:dyDescent="0.25">
      <c r="B49" s="72" t="s">
        <v>128</v>
      </c>
      <c r="C49" s="72" t="s">
        <v>118</v>
      </c>
      <c r="D49" s="72">
        <f>D48*'Line Item Notes'!B50</f>
        <v>200</v>
      </c>
      <c r="E49" s="78">
        <f>'Line Item Notes'!C50</f>
        <v>6</v>
      </c>
      <c r="F49" s="78">
        <f>D49*E49</f>
        <v>1200</v>
      </c>
      <c r="G49" s="78">
        <f>($C$11*'Line Item Notes'!$B$50)*'Oyster Crop Budget'!$E$49</f>
        <v>600</v>
      </c>
      <c r="H49" s="78">
        <f>($C$11*'Line Item Notes'!$B$50)*'Oyster Crop Budget'!$E$49</f>
        <v>600</v>
      </c>
      <c r="I49" s="78">
        <f>($C$11*'Line Item Notes'!$B$50)*'Oyster Crop Budget'!$E$49</f>
        <v>600</v>
      </c>
      <c r="J49" s="78">
        <f>($C$11*'Line Item Notes'!$B$50)*'Oyster Crop Budget'!$E$49</f>
        <v>600</v>
      </c>
      <c r="O49" s="24">
        <v>0.4</v>
      </c>
      <c r="P49">
        <v>4260.4032000000007</v>
      </c>
      <c r="Q49">
        <v>4166.6532000000007</v>
      </c>
      <c r="R49">
        <v>4060.4032000000007</v>
      </c>
      <c r="S49">
        <v>3938.9746285714282</v>
      </c>
      <c r="T49">
        <v>3798.8647384615397</v>
      </c>
      <c r="U49">
        <v>3635.4032000000007</v>
      </c>
      <c r="V49">
        <v>3442.2213818181772</v>
      </c>
      <c r="W49">
        <v>3210.4032000000007</v>
      </c>
      <c r="X49">
        <v>2927.0698666666649</v>
      </c>
      <c r="Y49">
        <v>2572.9032000000007</v>
      </c>
      <c r="Z49">
        <v>2117.5460571428557</v>
      </c>
      <c r="AA49">
        <v>1510.4032000000007</v>
      </c>
      <c r="AB49">
        <v>660.40320000000065</v>
      </c>
    </row>
    <row r="50" spans="2:28" x14ac:dyDescent="0.25">
      <c r="B50" s="72" t="s">
        <v>129</v>
      </c>
      <c r="C50" s="72" t="s">
        <v>118</v>
      </c>
      <c r="D50" s="72">
        <f>D48*'Line Item Notes'!B51</f>
        <v>200</v>
      </c>
      <c r="E50" s="78">
        <f>'Line Item Notes'!C51</f>
        <v>6</v>
      </c>
      <c r="F50" s="78">
        <f>D50*E50</f>
        <v>1200</v>
      </c>
      <c r="G50" s="78">
        <f>($C$11*'Line Item Notes'!$B$51)*'Oyster Crop Budget'!$E$50</f>
        <v>600</v>
      </c>
      <c r="H50" s="78">
        <f>($C$11*'Line Item Notes'!$B$51)*'Oyster Crop Budget'!$E$50</f>
        <v>600</v>
      </c>
      <c r="I50" s="78">
        <f>($C$11*'Line Item Notes'!$B$51)*'Oyster Crop Budget'!$E$50</f>
        <v>600</v>
      </c>
      <c r="J50" s="78">
        <f>($C$11*'Line Item Notes'!$B$51)*'Oyster Crop Budget'!$E$50</f>
        <v>600</v>
      </c>
      <c r="O50" s="24">
        <v>0.45</v>
      </c>
      <c r="P50">
        <v>9260.4032000000007</v>
      </c>
      <c r="Q50">
        <v>9166.6532000000007</v>
      </c>
      <c r="R50">
        <v>9060.4032000000007</v>
      </c>
      <c r="S50">
        <v>8938.9746285714282</v>
      </c>
      <c r="T50">
        <v>8798.8647384615397</v>
      </c>
      <c r="U50">
        <v>8635.4032000000007</v>
      </c>
      <c r="V50">
        <v>8442.2213818181772</v>
      </c>
      <c r="W50">
        <v>8210.4032000000007</v>
      </c>
      <c r="X50">
        <v>7927.0698666666649</v>
      </c>
      <c r="Y50">
        <v>7572.9032000000007</v>
      </c>
      <c r="Z50">
        <v>7117.5460571428557</v>
      </c>
      <c r="AA50">
        <v>6510.4032000000007</v>
      </c>
      <c r="AB50">
        <v>5660.4032000000007</v>
      </c>
    </row>
    <row r="51" spans="2:28" x14ac:dyDescent="0.25">
      <c r="B51" s="72" t="s">
        <v>130</v>
      </c>
      <c r="C51" s="72" t="s">
        <v>118</v>
      </c>
      <c r="D51" s="72">
        <f>D48*'Line Item Notes'!B52</f>
        <v>200</v>
      </c>
      <c r="E51" s="78">
        <f>'Line Item Notes'!C52</f>
        <v>6</v>
      </c>
      <c r="F51" s="78">
        <f>D51*E51</f>
        <v>1200</v>
      </c>
      <c r="G51" s="78">
        <f>($C$11*'Line Item Notes'!$B$52)*'Oyster Crop Budget'!$E$51</f>
        <v>600</v>
      </c>
      <c r="H51" s="78">
        <f>($C$11*'Line Item Notes'!$B$52)*'Oyster Crop Budget'!$E$51</f>
        <v>600</v>
      </c>
      <c r="I51" s="78">
        <f>($C$11*'Line Item Notes'!$B$52)*'Oyster Crop Budget'!$E$51</f>
        <v>600</v>
      </c>
      <c r="J51" s="78">
        <f>($C$11*'Line Item Notes'!$B$52)*'Oyster Crop Budget'!$E$51</f>
        <v>600</v>
      </c>
      <c r="O51" s="24">
        <v>0.5</v>
      </c>
      <c r="P51">
        <v>14260.403200000001</v>
      </c>
      <c r="Q51">
        <v>14166.653200000001</v>
      </c>
      <c r="R51">
        <v>14060.403200000001</v>
      </c>
      <c r="S51">
        <v>13938.974628571428</v>
      </c>
      <c r="T51">
        <v>13798.86473846154</v>
      </c>
      <c r="U51">
        <v>13635.403200000001</v>
      </c>
      <c r="V51">
        <v>13442.221381818177</v>
      </c>
      <c r="W51">
        <v>13210.403200000001</v>
      </c>
      <c r="X51">
        <v>12927.069866666665</v>
      </c>
      <c r="Y51">
        <v>12572.903200000001</v>
      </c>
      <c r="Z51">
        <v>12117.546057142856</v>
      </c>
      <c r="AA51">
        <v>11510.403200000001</v>
      </c>
      <c r="AB51">
        <v>10660.403200000001</v>
      </c>
    </row>
    <row r="52" spans="2:28" x14ac:dyDescent="0.25">
      <c r="B52" s="73" t="s">
        <v>131</v>
      </c>
      <c r="C52" s="72"/>
      <c r="D52" s="72"/>
      <c r="E52" s="72"/>
      <c r="F52" s="78">
        <f>SUM(F38:F51)</f>
        <v>20557</v>
      </c>
      <c r="G52" s="78">
        <f>SUM(G38:G51)</f>
        <v>13156</v>
      </c>
      <c r="H52" s="78">
        <f>SUM(H38:H51)</f>
        <v>13156</v>
      </c>
      <c r="I52" s="78">
        <f>SUM(I38:I51)</f>
        <v>13156</v>
      </c>
      <c r="J52" s="78">
        <f>SUM(J38:J51)</f>
        <v>13156</v>
      </c>
      <c r="O52" s="24">
        <v>0.55000000000000004</v>
      </c>
      <c r="P52">
        <v>19260.403200000008</v>
      </c>
      <c r="Q52">
        <v>19166.653200000008</v>
      </c>
      <c r="R52">
        <v>19060.403200000008</v>
      </c>
      <c r="S52">
        <v>18938.974628571435</v>
      </c>
      <c r="T52">
        <v>18798.864738461547</v>
      </c>
      <c r="U52">
        <v>18635.403200000008</v>
      </c>
      <c r="V52">
        <v>18442.221381818184</v>
      </c>
      <c r="W52">
        <v>18210.403200000008</v>
      </c>
      <c r="X52">
        <v>17927.069866666672</v>
      </c>
      <c r="Y52">
        <v>17572.903200000008</v>
      </c>
      <c r="Z52">
        <v>17117.546057142863</v>
      </c>
      <c r="AA52">
        <v>16510.403200000008</v>
      </c>
      <c r="AB52">
        <v>15660.403200000008</v>
      </c>
    </row>
    <row r="53" spans="2:28" x14ac:dyDescent="0.25">
      <c r="O53" s="24">
        <v>0.6</v>
      </c>
      <c r="P53">
        <v>24260.403200000001</v>
      </c>
      <c r="Q53">
        <v>24166.653200000001</v>
      </c>
      <c r="R53">
        <v>24060.403200000001</v>
      </c>
      <c r="S53">
        <v>23938.974628571428</v>
      </c>
      <c r="T53">
        <v>23798.86473846154</v>
      </c>
      <c r="U53">
        <v>23635.403200000001</v>
      </c>
      <c r="V53">
        <v>23442.221381818177</v>
      </c>
      <c r="W53">
        <v>23210.403200000001</v>
      </c>
      <c r="X53">
        <v>22927.069866666665</v>
      </c>
      <c r="Y53">
        <v>22572.903200000001</v>
      </c>
      <c r="Z53">
        <v>22117.546057142856</v>
      </c>
      <c r="AA53">
        <v>21510.403200000001</v>
      </c>
      <c r="AB53">
        <v>20660.403200000001</v>
      </c>
    </row>
    <row r="54" spans="2:28" x14ac:dyDescent="0.25">
      <c r="B54" s="88" t="s">
        <v>145</v>
      </c>
      <c r="C54" s="85"/>
      <c r="D54" s="85"/>
      <c r="E54" s="85"/>
      <c r="F54" s="85"/>
      <c r="G54" s="85"/>
      <c r="H54" s="85"/>
      <c r="I54" s="85"/>
      <c r="J54" s="85"/>
      <c r="O54" s="24">
        <v>0.65</v>
      </c>
      <c r="P54">
        <v>29260.403200000001</v>
      </c>
      <c r="Q54">
        <v>29166.653200000001</v>
      </c>
      <c r="R54">
        <v>29060.403200000001</v>
      </c>
      <c r="S54">
        <v>28938.974628571428</v>
      </c>
      <c r="T54">
        <v>28798.86473846154</v>
      </c>
      <c r="U54">
        <v>28635.403200000001</v>
      </c>
      <c r="V54">
        <v>28442.221381818177</v>
      </c>
      <c r="W54">
        <v>28210.403200000001</v>
      </c>
      <c r="X54">
        <v>27927.069866666665</v>
      </c>
      <c r="Y54">
        <v>27572.903200000001</v>
      </c>
      <c r="Z54">
        <v>27117.546057142856</v>
      </c>
      <c r="AA54">
        <v>26510.403200000001</v>
      </c>
      <c r="AB54">
        <v>25660.403200000001</v>
      </c>
    </row>
    <row r="55" spans="2:28" x14ac:dyDescent="0.25">
      <c r="B55" s="85" t="s">
        <v>132</v>
      </c>
      <c r="C55" s="85" t="s">
        <v>133</v>
      </c>
      <c r="D55" s="85">
        <v>1</v>
      </c>
      <c r="E55" s="86">
        <v>25</v>
      </c>
      <c r="F55" s="86">
        <f>D55*E55</f>
        <v>25</v>
      </c>
      <c r="G55" s="87">
        <v>0</v>
      </c>
      <c r="H55" s="87">
        <v>0</v>
      </c>
      <c r="I55" s="87">
        <v>0</v>
      </c>
      <c r="J55" s="87">
        <v>0</v>
      </c>
      <c r="O55" s="24">
        <v>0.7</v>
      </c>
      <c r="P55">
        <v>34260.403200000001</v>
      </c>
      <c r="Q55">
        <v>34166.653200000001</v>
      </c>
      <c r="R55">
        <v>34060.403200000001</v>
      </c>
      <c r="S55">
        <v>33938.974628571428</v>
      </c>
      <c r="T55">
        <v>33798.86473846154</v>
      </c>
      <c r="U55">
        <v>33635.403200000001</v>
      </c>
      <c r="V55">
        <v>33442.221381818177</v>
      </c>
      <c r="W55">
        <v>33210.403200000001</v>
      </c>
      <c r="X55">
        <v>32927.069866666665</v>
      </c>
      <c r="Y55">
        <v>32572.903200000001</v>
      </c>
      <c r="Z55">
        <v>32117.546057142856</v>
      </c>
      <c r="AA55">
        <v>31510.403200000001</v>
      </c>
      <c r="AB55">
        <v>30660.403200000001</v>
      </c>
    </row>
    <row r="56" spans="2:28" x14ac:dyDescent="0.25">
      <c r="B56" s="85" t="s">
        <v>178</v>
      </c>
      <c r="C56" s="85" t="s">
        <v>118</v>
      </c>
      <c r="D56" s="85" t="s">
        <v>134</v>
      </c>
      <c r="E56" s="86">
        <f>'Line Item Notes'!H25</f>
        <v>15</v>
      </c>
      <c r="F56" s="86">
        <f>$E$56*'Line Item Notes'!H26</f>
        <v>150</v>
      </c>
      <c r="G56" s="86">
        <f>$E$56*'Line Item Notes'!H26</f>
        <v>150</v>
      </c>
      <c r="H56" s="86">
        <f>$E$56*'Line Item Notes'!H26</f>
        <v>150</v>
      </c>
      <c r="I56" s="86">
        <f>$E$56*'Line Item Notes'!H26</f>
        <v>150</v>
      </c>
      <c r="J56" s="86">
        <f>$E$56*'Line Item Notes'!H26</f>
        <v>150</v>
      </c>
      <c r="O56" s="24">
        <v>0.75</v>
      </c>
      <c r="P56">
        <v>39260.403200000001</v>
      </c>
      <c r="Q56">
        <v>39166.653200000001</v>
      </c>
      <c r="R56">
        <v>39060.403200000001</v>
      </c>
      <c r="S56">
        <v>38938.974628571428</v>
      </c>
      <c r="T56">
        <v>38798.86473846154</v>
      </c>
      <c r="U56">
        <v>38635.403200000001</v>
      </c>
      <c r="V56">
        <v>38442.221381818177</v>
      </c>
      <c r="W56">
        <v>38210.403200000001</v>
      </c>
      <c r="X56">
        <v>37927.069866666665</v>
      </c>
      <c r="Y56">
        <v>37572.903200000001</v>
      </c>
      <c r="Z56">
        <v>37117.546057142856</v>
      </c>
      <c r="AA56">
        <v>36510.403200000001</v>
      </c>
      <c r="AB56">
        <v>35660.403200000001</v>
      </c>
    </row>
    <row r="57" spans="2:28" x14ac:dyDescent="0.25">
      <c r="B57" s="85" t="s">
        <v>135</v>
      </c>
      <c r="C57" s="85" t="s">
        <v>118</v>
      </c>
      <c r="D57" s="85">
        <v>1</v>
      </c>
      <c r="E57" s="86">
        <v>600</v>
      </c>
      <c r="F57" s="86">
        <f>$E$57*$D$57</f>
        <v>600</v>
      </c>
      <c r="G57" s="86">
        <f>$E$57*$D$57</f>
        <v>600</v>
      </c>
      <c r="H57" s="86">
        <f>$E$57*$D$57</f>
        <v>600</v>
      </c>
      <c r="I57" s="86">
        <f>$E$57*$D$57</f>
        <v>600</v>
      </c>
      <c r="J57" s="86">
        <f>$E$57*$D$57</f>
        <v>600</v>
      </c>
      <c r="O57" s="24">
        <v>0.8</v>
      </c>
      <c r="P57">
        <v>44260.403200000001</v>
      </c>
      <c r="Q57">
        <v>44166.653200000001</v>
      </c>
      <c r="R57">
        <v>44060.403200000001</v>
      </c>
      <c r="S57">
        <v>43938.974628571428</v>
      </c>
      <c r="T57">
        <v>43798.86473846154</v>
      </c>
      <c r="U57">
        <v>43635.403200000001</v>
      </c>
      <c r="V57">
        <v>43442.221381818177</v>
      </c>
      <c r="W57">
        <v>43210.403200000001</v>
      </c>
      <c r="X57">
        <v>42927.069866666665</v>
      </c>
      <c r="Y57">
        <v>42572.903200000001</v>
      </c>
      <c r="Z57">
        <v>42117.546057142856</v>
      </c>
      <c r="AA57">
        <v>41510.403200000001</v>
      </c>
      <c r="AB57">
        <v>40660.403200000001</v>
      </c>
    </row>
    <row r="58" spans="2:28" x14ac:dyDescent="0.25">
      <c r="B58" s="85" t="s">
        <v>136</v>
      </c>
      <c r="C58" s="85" t="s">
        <v>118</v>
      </c>
      <c r="D58" s="85" t="s">
        <v>137</v>
      </c>
      <c r="E58" s="86">
        <v>1</v>
      </c>
      <c r="F58" s="86">
        <f>E58*D48</f>
        <v>200</v>
      </c>
      <c r="G58" s="86">
        <f>($E$58*($D$48+($C$11*1)))</f>
        <v>300</v>
      </c>
      <c r="H58" s="86">
        <f>($E$58*($D$48+($C$11*2)))</f>
        <v>400</v>
      </c>
      <c r="I58" s="86">
        <f>($E$58*($D$48+($C$11*3)))</f>
        <v>500</v>
      </c>
      <c r="J58" s="86">
        <f>($E$58*($D$48+($C$11*4)))</f>
        <v>600</v>
      </c>
      <c r="O58" s="24">
        <v>0.85</v>
      </c>
      <c r="P58">
        <v>49260.403200000001</v>
      </c>
      <c r="Q58">
        <v>49166.653200000001</v>
      </c>
      <c r="R58">
        <v>49060.403200000001</v>
      </c>
      <c r="S58">
        <v>48938.974628571428</v>
      </c>
      <c r="T58">
        <v>48798.86473846154</v>
      </c>
      <c r="U58">
        <v>48635.403200000001</v>
      </c>
      <c r="V58">
        <v>48442.221381818177</v>
      </c>
      <c r="W58">
        <v>48210.403200000001</v>
      </c>
      <c r="X58">
        <v>47927.069866666665</v>
      </c>
      <c r="Y58">
        <v>47572.903200000001</v>
      </c>
      <c r="Z58">
        <v>47117.546057142856</v>
      </c>
      <c r="AA58">
        <v>46510.403200000001</v>
      </c>
      <c r="AB58">
        <v>45660.403200000001</v>
      </c>
    </row>
    <row r="59" spans="2:28" x14ac:dyDescent="0.25">
      <c r="B59" s="85" t="s">
        <v>138</v>
      </c>
      <c r="C59" s="85" t="s">
        <v>139</v>
      </c>
      <c r="D59" s="85">
        <v>3</v>
      </c>
      <c r="E59" s="86">
        <v>5</v>
      </c>
      <c r="F59" s="86">
        <f>$D$59*$E$59</f>
        <v>15</v>
      </c>
      <c r="G59" s="86">
        <f>$D$59*$E$59</f>
        <v>15</v>
      </c>
      <c r="H59" s="86">
        <f>$D$59*$E$59</f>
        <v>15</v>
      </c>
      <c r="I59" s="86">
        <f>$D$59*$E$59</f>
        <v>15</v>
      </c>
      <c r="J59" s="86">
        <f>$D$59*$E$59</f>
        <v>15</v>
      </c>
      <c r="O59" s="24">
        <v>0.9</v>
      </c>
      <c r="P59">
        <v>54260.403200000001</v>
      </c>
      <c r="Q59">
        <v>54166.653200000001</v>
      </c>
      <c r="R59">
        <v>54060.403200000001</v>
      </c>
      <c r="S59">
        <v>53938.974628571428</v>
      </c>
      <c r="T59">
        <v>53798.86473846154</v>
      </c>
      <c r="U59">
        <v>53635.403200000001</v>
      </c>
      <c r="V59">
        <v>53442.221381818177</v>
      </c>
      <c r="W59">
        <v>53210.403200000001</v>
      </c>
      <c r="X59">
        <v>52927.069866666665</v>
      </c>
      <c r="Y59">
        <v>52572.903200000001</v>
      </c>
      <c r="Z59">
        <v>52117.546057142856</v>
      </c>
      <c r="AA59">
        <v>51510.403200000001</v>
      </c>
      <c r="AB59">
        <v>50660.403200000001</v>
      </c>
    </row>
    <row r="60" spans="2:28" x14ac:dyDescent="0.25">
      <c r="B60" s="85" t="s">
        <v>140</v>
      </c>
      <c r="C60" s="85" t="s">
        <v>118</v>
      </c>
      <c r="D60" s="85">
        <v>1</v>
      </c>
      <c r="E60" s="86">
        <v>60</v>
      </c>
      <c r="F60" s="86">
        <f>$D$60*$E$60</f>
        <v>60</v>
      </c>
      <c r="G60" s="86">
        <f>$D$60*$E$60</f>
        <v>60</v>
      </c>
      <c r="H60" s="86">
        <f>$D$60*$E$60</f>
        <v>60</v>
      </c>
      <c r="I60" s="86">
        <f>$D$60*$E$60</f>
        <v>60</v>
      </c>
      <c r="J60" s="86">
        <f>$D$60*$E$60</f>
        <v>60</v>
      </c>
      <c r="O60" s="24">
        <v>0.95</v>
      </c>
      <c r="P60">
        <v>59260.403200000001</v>
      </c>
      <c r="Q60">
        <v>59166.653200000001</v>
      </c>
      <c r="R60">
        <v>59060.403200000001</v>
      </c>
      <c r="S60">
        <v>58938.974628571428</v>
      </c>
      <c r="T60">
        <v>58798.86473846154</v>
      </c>
      <c r="U60">
        <v>58635.403200000001</v>
      </c>
      <c r="V60">
        <v>58442.221381818177</v>
      </c>
      <c r="W60">
        <v>58210.403200000001</v>
      </c>
      <c r="X60">
        <v>57927.069866666665</v>
      </c>
      <c r="Y60">
        <v>57572.903200000001</v>
      </c>
      <c r="Z60">
        <v>57117.546057142856</v>
      </c>
      <c r="AA60">
        <v>56510.403200000001</v>
      </c>
      <c r="AB60">
        <v>55660.403200000001</v>
      </c>
    </row>
    <row r="61" spans="2:28" x14ac:dyDescent="0.25">
      <c r="B61" s="85" t="s">
        <v>141</v>
      </c>
      <c r="C61" s="85" t="s">
        <v>118</v>
      </c>
      <c r="D61" s="85">
        <v>1</v>
      </c>
      <c r="E61" s="86">
        <v>200</v>
      </c>
      <c r="F61" s="86">
        <f>$D$61*$E$61</f>
        <v>200</v>
      </c>
      <c r="G61" s="86">
        <f>$D$61*$E$61</f>
        <v>200</v>
      </c>
      <c r="H61" s="86">
        <f>$D$61*$E$61</f>
        <v>200</v>
      </c>
      <c r="I61" s="86">
        <f>$D$61*$E$61</f>
        <v>200</v>
      </c>
      <c r="J61" s="86">
        <f>$D$61*$E$61</f>
        <v>200</v>
      </c>
      <c r="O61" s="24">
        <v>1</v>
      </c>
      <c r="P61">
        <v>64260.403200000001</v>
      </c>
      <c r="Q61">
        <v>64166.653200000001</v>
      </c>
      <c r="R61">
        <v>64060.403200000001</v>
      </c>
      <c r="S61">
        <v>63938.974628571428</v>
      </c>
      <c r="T61">
        <v>63798.86473846154</v>
      </c>
      <c r="U61">
        <v>63635.403200000001</v>
      </c>
      <c r="V61">
        <v>63442.221381818177</v>
      </c>
      <c r="W61">
        <v>63210.403200000001</v>
      </c>
      <c r="X61">
        <v>62927.069866666665</v>
      </c>
      <c r="Y61">
        <v>62572.903200000001</v>
      </c>
      <c r="Z61">
        <v>62117.546057142856</v>
      </c>
      <c r="AA61">
        <v>61510.403200000001</v>
      </c>
      <c r="AB61">
        <v>60660.403200000001</v>
      </c>
    </row>
    <row r="62" spans="2:28" x14ac:dyDescent="0.25">
      <c r="B62" s="85" t="s">
        <v>142</v>
      </c>
      <c r="C62" s="85" t="s">
        <v>118</v>
      </c>
      <c r="D62" s="85">
        <v>1</v>
      </c>
      <c r="E62" s="86">
        <v>45</v>
      </c>
      <c r="F62" s="86">
        <f>$D$62*$E$62</f>
        <v>45</v>
      </c>
      <c r="G62" s="86">
        <f>$D$62*$E$62</f>
        <v>45</v>
      </c>
      <c r="H62" s="86">
        <f>$D$62*$E$62</f>
        <v>45</v>
      </c>
      <c r="I62" s="86">
        <f>$D$62*$E$62</f>
        <v>45</v>
      </c>
      <c r="J62" s="86">
        <f>$D$62*$E$62</f>
        <v>45</v>
      </c>
    </row>
    <row r="63" spans="2:28" x14ac:dyDescent="0.25">
      <c r="B63" s="85" t="s">
        <v>143</v>
      </c>
      <c r="C63" s="85"/>
      <c r="D63" s="85">
        <v>1</v>
      </c>
      <c r="E63" s="86">
        <v>0</v>
      </c>
      <c r="F63" s="86">
        <f>$D$63*$E$63</f>
        <v>0</v>
      </c>
      <c r="G63" s="86">
        <f>$D$63*$E$63</f>
        <v>0</v>
      </c>
      <c r="H63" s="86">
        <f>$D$63*$E$63</f>
        <v>0</v>
      </c>
      <c r="I63" s="86">
        <f>$D$63*$E$63</f>
        <v>0</v>
      </c>
      <c r="J63" s="86">
        <f>$D$63*$E$63</f>
        <v>0</v>
      </c>
    </row>
    <row r="64" spans="2:28" x14ac:dyDescent="0.25">
      <c r="B64" s="88" t="s">
        <v>144</v>
      </c>
      <c r="C64" s="85"/>
      <c r="D64" s="85"/>
      <c r="E64" s="85"/>
      <c r="F64" s="86">
        <f>SUM(F55:F63)</f>
        <v>1295</v>
      </c>
      <c r="G64" s="86">
        <f>SUM(G55:G63)</f>
        <v>1370</v>
      </c>
      <c r="H64" s="86">
        <f>SUM(H55:H63)</f>
        <v>1470</v>
      </c>
      <c r="I64" s="86">
        <f>SUM(I55:I63)</f>
        <v>1570</v>
      </c>
      <c r="J64" s="86">
        <f>SUM(J55:J63)</f>
        <v>1670</v>
      </c>
      <c r="N64" t="s">
        <v>15</v>
      </c>
      <c r="O64" s="24">
        <f>I68</f>
        <v>-4598.7796000000017</v>
      </c>
      <c r="P64">
        <v>0.15</v>
      </c>
      <c r="Q64">
        <v>0.2</v>
      </c>
      <c r="R64">
        <v>0.25</v>
      </c>
      <c r="S64">
        <v>0.3</v>
      </c>
      <c r="T64">
        <v>0.35</v>
      </c>
      <c r="U64">
        <v>0.4</v>
      </c>
      <c r="V64">
        <v>0.45</v>
      </c>
      <c r="W64">
        <v>0.5</v>
      </c>
      <c r="X64">
        <v>0.55000000000000004</v>
      </c>
      <c r="Y64">
        <v>0.6</v>
      </c>
      <c r="Z64">
        <v>0.65</v>
      </c>
      <c r="AA64">
        <v>0.7</v>
      </c>
      <c r="AB64">
        <v>0.75</v>
      </c>
    </row>
    <row r="65" spans="1:28" x14ac:dyDescent="0.25">
      <c r="O65" s="24">
        <v>0.35</v>
      </c>
      <c r="P65">
        <f t="dataTable" ref="P65:AB78" dt2D="1" dtr="1" r1="C9" r2="C8" ca="1"/>
        <v>-12567.529600000002</v>
      </c>
      <c r="Q65">
        <v>-12684.717100000002</v>
      </c>
      <c r="R65">
        <v>-12817.529600000002</v>
      </c>
      <c r="S65">
        <v>-12969.315314285712</v>
      </c>
      <c r="T65">
        <v>-13144.45267692308</v>
      </c>
      <c r="U65">
        <v>-13348.779600000002</v>
      </c>
      <c r="V65">
        <v>-13590.256872727274</v>
      </c>
      <c r="W65">
        <v>-13880.029600000002</v>
      </c>
      <c r="X65">
        <v>-14234.196266666666</v>
      </c>
      <c r="Y65">
        <v>-14676.904600000002</v>
      </c>
      <c r="Z65">
        <v>-15246.101028571429</v>
      </c>
      <c r="AA65">
        <v>-16005.029600000002</v>
      </c>
      <c r="AB65">
        <v>-17067.529600000002</v>
      </c>
    </row>
    <row r="66" spans="1:28" x14ac:dyDescent="0.25">
      <c r="B66" s="20" t="s">
        <v>146</v>
      </c>
      <c r="C66" s="20"/>
      <c r="D66" s="20"/>
      <c r="E66" s="20"/>
      <c r="F66" s="89" t="s">
        <v>12</v>
      </c>
      <c r="G66" s="89" t="s">
        <v>13</v>
      </c>
      <c r="H66" s="89" t="s">
        <v>14</v>
      </c>
      <c r="I66" s="89" t="s">
        <v>15</v>
      </c>
      <c r="J66" s="89" t="s">
        <v>16</v>
      </c>
      <c r="O66" s="24">
        <v>0.4</v>
      </c>
      <c r="P66">
        <v>-6317.5296000000017</v>
      </c>
      <c r="Q66">
        <v>-6434.7171000000017</v>
      </c>
      <c r="R66">
        <v>-6567.5296000000017</v>
      </c>
      <c r="S66">
        <v>-6719.3153142857118</v>
      </c>
      <c r="T66">
        <v>-6894.4526769230797</v>
      </c>
      <c r="U66">
        <v>-7098.7796000000017</v>
      </c>
      <c r="V66">
        <v>-7340.2568727272737</v>
      </c>
      <c r="W66">
        <v>-7630.0296000000017</v>
      </c>
      <c r="X66">
        <v>-7984.1962666666659</v>
      </c>
      <c r="Y66">
        <v>-8426.9046000000017</v>
      </c>
      <c r="Z66">
        <v>-8996.1010285714292</v>
      </c>
      <c r="AA66">
        <v>-9755.0296000000017</v>
      </c>
      <c r="AB66">
        <v>-10817.529600000002</v>
      </c>
    </row>
    <row r="67" spans="1:28" x14ac:dyDescent="0.25">
      <c r="B67" s="20" t="s">
        <v>147</v>
      </c>
      <c r="C67" s="20"/>
      <c r="D67" s="20"/>
      <c r="E67" s="20"/>
      <c r="F67" s="21">
        <f>F34+F52+F64</f>
        <v>44783.096799999999</v>
      </c>
      <c r="G67" s="21">
        <f>G34+G52+G64</f>
        <v>35398.346799999999</v>
      </c>
      <c r="H67" s="21">
        <f>H34+H52+H64</f>
        <v>36364.596799999999</v>
      </c>
      <c r="I67" s="21">
        <f>I34+I52+I64</f>
        <v>57098.779600000002</v>
      </c>
      <c r="J67" s="21">
        <f>J34+J52+J64</f>
        <v>58065.029600000002</v>
      </c>
      <c r="O67" s="24">
        <v>0.45</v>
      </c>
      <c r="P67">
        <v>-67.529600000001665</v>
      </c>
      <c r="Q67">
        <v>-184.71710000000166</v>
      </c>
      <c r="R67">
        <v>-317.52960000000166</v>
      </c>
      <c r="S67">
        <v>-469.31531428571179</v>
      </c>
      <c r="T67">
        <v>-644.45267692307971</v>
      </c>
      <c r="U67">
        <v>-848.77960000000166</v>
      </c>
      <c r="V67">
        <v>-1090.2568727272737</v>
      </c>
      <c r="W67">
        <v>-1380.0296000000017</v>
      </c>
      <c r="X67">
        <v>-1734.1962666666659</v>
      </c>
      <c r="Y67">
        <v>-2176.9046000000017</v>
      </c>
      <c r="Z67">
        <v>-2746.1010285714292</v>
      </c>
      <c r="AA67">
        <v>-3505.0296000000017</v>
      </c>
      <c r="AB67">
        <v>-4567.5296000000017</v>
      </c>
    </row>
    <row r="68" spans="1:28" x14ac:dyDescent="0.25">
      <c r="B68" s="20" t="s">
        <v>148</v>
      </c>
      <c r="C68" s="20"/>
      <c r="D68" s="20"/>
      <c r="E68" s="20"/>
      <c r="F68" s="21">
        <f>F16-F67</f>
        <v>-23783.096799999999</v>
      </c>
      <c r="G68" s="21">
        <f>G16-G67</f>
        <v>-3898.3467999999993</v>
      </c>
      <c r="H68" s="21">
        <f>H16-H67</f>
        <v>5635.4032000000007</v>
      </c>
      <c r="I68" s="21">
        <f>I16-I67</f>
        <v>-4598.7796000000017</v>
      </c>
      <c r="J68" s="21">
        <f>J16-J67</f>
        <v>4934.9703999999983</v>
      </c>
      <c r="O68" s="24">
        <v>0.5</v>
      </c>
      <c r="P68">
        <v>6182.4703999999983</v>
      </c>
      <c r="Q68">
        <v>6065.2828999999983</v>
      </c>
      <c r="R68">
        <v>5932.4703999999983</v>
      </c>
      <c r="S68">
        <v>5780.6846857142882</v>
      </c>
      <c r="T68">
        <v>5605.5473230769203</v>
      </c>
      <c r="U68">
        <v>5401.2203999999983</v>
      </c>
      <c r="V68">
        <v>5159.7431272727263</v>
      </c>
      <c r="W68">
        <v>4869.9703999999983</v>
      </c>
      <c r="X68">
        <v>4515.8037333333341</v>
      </c>
      <c r="Y68">
        <v>4073.0953999999983</v>
      </c>
      <c r="Z68">
        <v>3503.8989714285708</v>
      </c>
      <c r="AA68">
        <v>2744.9703999999983</v>
      </c>
      <c r="AB68">
        <v>1682.4703999999983</v>
      </c>
    </row>
    <row r="69" spans="1:28" x14ac:dyDescent="0.25">
      <c r="B69" s="20" t="s">
        <v>149</v>
      </c>
      <c r="C69" s="20"/>
      <c r="D69" s="20"/>
      <c r="E69" s="20"/>
      <c r="F69" s="21">
        <f>F68</f>
        <v>-23783.096799999999</v>
      </c>
      <c r="G69" s="21">
        <f>F68+G68</f>
        <v>-27681.443599999999</v>
      </c>
      <c r="H69" s="21">
        <f>G69+H68</f>
        <v>-22046.040399999998</v>
      </c>
      <c r="I69" s="21">
        <f>H69+I68</f>
        <v>-26644.82</v>
      </c>
      <c r="J69" s="21">
        <f>I69+J68</f>
        <v>-21709.849600000001</v>
      </c>
      <c r="O69" s="24">
        <v>0.55000000000000004</v>
      </c>
      <c r="P69">
        <v>12432.470399999998</v>
      </c>
      <c r="Q69">
        <v>12315.282899999998</v>
      </c>
      <c r="R69">
        <v>12182.470399999998</v>
      </c>
      <c r="S69">
        <v>12030.684685714288</v>
      </c>
      <c r="T69">
        <v>11855.54732307692</v>
      </c>
      <c r="U69">
        <v>11651.220399999998</v>
      </c>
      <c r="V69">
        <v>11409.743127272726</v>
      </c>
      <c r="W69">
        <v>11119.970399999998</v>
      </c>
      <c r="X69">
        <v>10765.803733333334</v>
      </c>
      <c r="Y69">
        <v>10323.095399999998</v>
      </c>
      <c r="Z69">
        <v>9753.8989714285708</v>
      </c>
      <c r="AA69">
        <v>8994.9703999999983</v>
      </c>
      <c r="AB69">
        <v>7932.4703999999983</v>
      </c>
    </row>
    <row r="70" spans="1:28" x14ac:dyDescent="0.25">
      <c r="O70" s="24">
        <v>0.6</v>
      </c>
      <c r="P70">
        <v>18682.470399999998</v>
      </c>
      <c r="Q70">
        <v>18565.282899999998</v>
      </c>
      <c r="R70">
        <v>18432.470399999998</v>
      </c>
      <c r="S70">
        <v>18280.684685714288</v>
      </c>
      <c r="T70">
        <v>18105.54732307692</v>
      </c>
      <c r="U70">
        <v>17901.220399999998</v>
      </c>
      <c r="V70">
        <v>17659.743127272726</v>
      </c>
      <c r="W70">
        <v>17369.970399999998</v>
      </c>
      <c r="X70">
        <v>17015.803733333334</v>
      </c>
      <c r="Y70">
        <v>16573.095399999998</v>
      </c>
      <c r="Z70">
        <v>16003.898971428571</v>
      </c>
      <c r="AA70">
        <v>15244.970399999998</v>
      </c>
      <c r="AB70">
        <v>14182.470399999998</v>
      </c>
    </row>
    <row r="71" spans="1:28" x14ac:dyDescent="0.25">
      <c r="O71" s="24">
        <v>0.65</v>
      </c>
      <c r="P71">
        <v>24932.470399999998</v>
      </c>
      <c r="Q71">
        <v>24815.282899999998</v>
      </c>
      <c r="R71">
        <v>24682.470399999998</v>
      </c>
      <c r="S71">
        <v>24530.684685714288</v>
      </c>
      <c r="T71">
        <v>24355.54732307692</v>
      </c>
      <c r="U71">
        <v>24151.220399999998</v>
      </c>
      <c r="V71">
        <v>23909.743127272726</v>
      </c>
      <c r="W71">
        <v>23619.970399999998</v>
      </c>
      <c r="X71">
        <v>23265.803733333334</v>
      </c>
      <c r="Y71">
        <v>22823.095399999998</v>
      </c>
      <c r="Z71">
        <v>22253.898971428571</v>
      </c>
      <c r="AA71">
        <v>21494.970399999998</v>
      </c>
      <c r="AB71">
        <v>20432.470399999998</v>
      </c>
    </row>
    <row r="72" spans="1:28" x14ac:dyDescent="0.25">
      <c r="A72" s="122" t="s">
        <v>184</v>
      </c>
      <c r="B72" s="122"/>
      <c r="C72" s="122"/>
      <c r="O72" s="24">
        <v>0.7</v>
      </c>
      <c r="P72">
        <v>31182.470399999998</v>
      </c>
      <c r="Q72">
        <v>31065.282899999998</v>
      </c>
      <c r="R72">
        <v>30932.470399999998</v>
      </c>
      <c r="S72">
        <v>30780.684685714288</v>
      </c>
      <c r="T72">
        <v>30605.54732307692</v>
      </c>
      <c r="U72">
        <v>30401.220399999998</v>
      </c>
      <c r="V72">
        <v>30159.743127272726</v>
      </c>
      <c r="W72">
        <v>29869.970399999998</v>
      </c>
      <c r="X72">
        <v>29515.803733333334</v>
      </c>
      <c r="Y72">
        <v>29073.095399999998</v>
      </c>
      <c r="Z72">
        <v>28503.898971428571</v>
      </c>
      <c r="AA72">
        <v>27744.970399999998</v>
      </c>
      <c r="AB72">
        <v>26682.470399999998</v>
      </c>
    </row>
    <row r="73" spans="1:28" x14ac:dyDescent="0.25">
      <c r="A73" s="124">
        <v>1</v>
      </c>
      <c r="B73" s="122" t="s">
        <v>190</v>
      </c>
      <c r="C73" s="122"/>
      <c r="O73" s="24">
        <v>0.75</v>
      </c>
      <c r="P73">
        <v>37432.470399999998</v>
      </c>
      <c r="Q73">
        <v>37315.282899999998</v>
      </c>
      <c r="R73">
        <v>37182.470399999998</v>
      </c>
      <c r="S73">
        <v>37030.684685714288</v>
      </c>
      <c r="T73">
        <v>36855.54732307692</v>
      </c>
      <c r="U73">
        <v>36651.220399999998</v>
      </c>
      <c r="V73">
        <v>36409.743127272726</v>
      </c>
      <c r="W73">
        <v>36119.970399999998</v>
      </c>
      <c r="X73">
        <v>35765.803733333334</v>
      </c>
      <c r="Y73">
        <v>35323.095399999998</v>
      </c>
      <c r="Z73">
        <v>34753.898971428571</v>
      </c>
      <c r="AA73">
        <v>33994.970399999998</v>
      </c>
      <c r="AB73">
        <v>32932.470399999998</v>
      </c>
    </row>
    <row r="74" spans="1:28" x14ac:dyDescent="0.25">
      <c r="O74" s="24">
        <v>0.8</v>
      </c>
      <c r="P74">
        <v>43682.470399999998</v>
      </c>
      <c r="Q74">
        <v>43565.282899999998</v>
      </c>
      <c r="R74">
        <v>43432.470399999998</v>
      </c>
      <c r="S74">
        <v>43280.684685714288</v>
      </c>
      <c r="T74">
        <v>43105.54732307692</v>
      </c>
      <c r="U74">
        <v>42901.220399999998</v>
      </c>
      <c r="V74">
        <v>42659.743127272726</v>
      </c>
      <c r="W74">
        <v>42369.970399999998</v>
      </c>
      <c r="X74">
        <v>42015.803733333334</v>
      </c>
      <c r="Y74">
        <v>41573.095399999998</v>
      </c>
      <c r="Z74">
        <v>41003.898971428571</v>
      </c>
      <c r="AA74">
        <v>40244.970399999998</v>
      </c>
      <c r="AB74">
        <v>39182.470399999998</v>
      </c>
    </row>
    <row r="75" spans="1:28" x14ac:dyDescent="0.25">
      <c r="O75" s="24">
        <v>0.85</v>
      </c>
      <c r="P75">
        <v>49932.470399999998</v>
      </c>
      <c r="Q75">
        <v>49815.282899999998</v>
      </c>
      <c r="R75">
        <v>49682.470399999998</v>
      </c>
      <c r="S75">
        <v>49530.684685714288</v>
      </c>
      <c r="T75">
        <v>49355.54732307692</v>
      </c>
      <c r="U75">
        <v>49151.220399999998</v>
      </c>
      <c r="V75">
        <v>48909.743127272726</v>
      </c>
      <c r="W75">
        <v>48619.970399999998</v>
      </c>
      <c r="X75">
        <v>48265.803733333334</v>
      </c>
      <c r="Y75">
        <v>47823.095399999998</v>
      </c>
      <c r="Z75">
        <v>47253.898971428571</v>
      </c>
      <c r="AA75">
        <v>46494.970399999998</v>
      </c>
      <c r="AB75">
        <v>45432.470399999998</v>
      </c>
    </row>
    <row r="76" spans="1:28" x14ac:dyDescent="0.25">
      <c r="O76" s="24">
        <v>0.9</v>
      </c>
      <c r="P76">
        <v>56182.470399999998</v>
      </c>
      <c r="Q76">
        <v>56065.282899999998</v>
      </c>
      <c r="R76">
        <v>55932.470399999998</v>
      </c>
      <c r="S76">
        <v>55780.684685714288</v>
      </c>
      <c r="T76">
        <v>55605.54732307692</v>
      </c>
      <c r="U76">
        <v>55401.220399999998</v>
      </c>
      <c r="V76">
        <v>55159.743127272726</v>
      </c>
      <c r="W76">
        <v>54869.970399999998</v>
      </c>
      <c r="X76">
        <v>54515.803733333334</v>
      </c>
      <c r="Y76">
        <v>54073.095399999998</v>
      </c>
      <c r="Z76">
        <v>53503.898971428571</v>
      </c>
      <c r="AA76">
        <v>52744.970399999998</v>
      </c>
      <c r="AB76">
        <v>51682.470399999998</v>
      </c>
    </row>
    <row r="77" spans="1:28" x14ac:dyDescent="0.25">
      <c r="B77" s="38"/>
      <c r="C77" s="38"/>
      <c r="O77" s="24">
        <v>0.95</v>
      </c>
      <c r="P77">
        <v>62432.470399999998</v>
      </c>
      <c r="Q77">
        <v>62315.282899999998</v>
      </c>
      <c r="R77">
        <v>62182.470399999998</v>
      </c>
      <c r="S77">
        <v>62030.684685714288</v>
      </c>
      <c r="T77">
        <v>61855.54732307692</v>
      </c>
      <c r="U77">
        <v>61651.220399999998</v>
      </c>
      <c r="V77">
        <v>61409.743127272726</v>
      </c>
      <c r="W77">
        <v>61119.970399999998</v>
      </c>
      <c r="X77">
        <v>60765.803733333334</v>
      </c>
      <c r="Y77">
        <v>60323.095399999998</v>
      </c>
      <c r="Z77">
        <v>59753.898971428571</v>
      </c>
      <c r="AA77">
        <v>58994.970399999998</v>
      </c>
      <c r="AB77">
        <v>57932.470399999998</v>
      </c>
    </row>
    <row r="78" spans="1:28" x14ac:dyDescent="0.25">
      <c r="C78" s="38"/>
      <c r="O78" s="24">
        <v>1</v>
      </c>
      <c r="P78">
        <v>68682.470399999991</v>
      </c>
      <c r="Q78">
        <v>68565.282899999991</v>
      </c>
      <c r="R78">
        <v>68432.470399999991</v>
      </c>
      <c r="S78">
        <v>68280.684685714281</v>
      </c>
      <c r="T78">
        <v>68105.547323076928</v>
      </c>
      <c r="U78">
        <v>67901.220399999991</v>
      </c>
      <c r="V78">
        <v>67659.743127272726</v>
      </c>
      <c r="W78">
        <v>67369.970399999991</v>
      </c>
      <c r="X78">
        <v>67015.803733333334</v>
      </c>
      <c r="Y78">
        <v>66573.095399999991</v>
      </c>
      <c r="Z78">
        <v>66003.898971428571</v>
      </c>
      <c r="AA78">
        <v>65244.970399999998</v>
      </c>
      <c r="AB78">
        <v>64182.470399999998</v>
      </c>
    </row>
    <row r="79" spans="1:28" x14ac:dyDescent="0.25">
      <c r="C79" s="38"/>
    </row>
    <row r="80" spans="1:28" x14ac:dyDescent="0.25">
      <c r="C80" s="38"/>
    </row>
    <row r="81" spans="14:28" x14ac:dyDescent="0.25">
      <c r="N81" t="s">
        <v>16</v>
      </c>
      <c r="O81" s="24">
        <f>J68</f>
        <v>4934.9703999999983</v>
      </c>
      <c r="P81">
        <v>0.15</v>
      </c>
      <c r="Q81">
        <v>0.2</v>
      </c>
      <c r="R81">
        <v>0.25</v>
      </c>
      <c r="S81">
        <v>0.3</v>
      </c>
      <c r="T81">
        <v>0.35</v>
      </c>
      <c r="U81">
        <v>0.4</v>
      </c>
      <c r="V81">
        <v>0.45</v>
      </c>
      <c r="W81">
        <v>0.5</v>
      </c>
      <c r="X81">
        <v>0.55000000000000004</v>
      </c>
      <c r="Y81">
        <v>0.6</v>
      </c>
      <c r="Z81">
        <v>0.65</v>
      </c>
      <c r="AA81">
        <v>0.7</v>
      </c>
      <c r="AB81">
        <v>0.75</v>
      </c>
    </row>
    <row r="82" spans="14:28" x14ac:dyDescent="0.25">
      <c r="O82" s="24">
        <v>0.35</v>
      </c>
      <c r="P82">
        <f t="dataTable" ref="P82:AB95" dt2D="1" dtr="1" r1="C9" r2="C8" ca="1"/>
        <v>-4627.5296000000017</v>
      </c>
      <c r="Q82">
        <v>-4768.1546000000017</v>
      </c>
      <c r="R82">
        <v>-4927.5296000000017</v>
      </c>
      <c r="S82">
        <v>-5109.6724571428567</v>
      </c>
      <c r="T82">
        <v>-5319.8372923076968</v>
      </c>
      <c r="U82">
        <v>-5565.0296000000017</v>
      </c>
      <c r="V82">
        <v>-5854.8023272727296</v>
      </c>
      <c r="W82">
        <v>-6202.5296000000017</v>
      </c>
      <c r="X82">
        <v>-6627.5296000000017</v>
      </c>
      <c r="Y82">
        <v>-7158.7796000000017</v>
      </c>
      <c r="Z82">
        <v>-7841.8153142857191</v>
      </c>
      <c r="AA82">
        <v>-8752.5296000000017</v>
      </c>
      <c r="AB82">
        <v>-10027.529600000002</v>
      </c>
    </row>
    <row r="83" spans="14:28" x14ac:dyDescent="0.25">
      <c r="O83" s="24">
        <v>0.4</v>
      </c>
      <c r="P83">
        <v>2872.4703999999983</v>
      </c>
      <c r="Q83">
        <v>2731.8453999999983</v>
      </c>
      <c r="R83">
        <v>2572.4703999999983</v>
      </c>
      <c r="S83">
        <v>2390.3275428571433</v>
      </c>
      <c r="T83">
        <v>2180.1627076923032</v>
      </c>
      <c r="U83">
        <v>1934.9703999999983</v>
      </c>
      <c r="V83">
        <v>1645.1976727272704</v>
      </c>
      <c r="W83">
        <v>1297.4703999999983</v>
      </c>
      <c r="X83">
        <v>872.47039999999834</v>
      </c>
      <c r="Y83">
        <v>341.22039999999834</v>
      </c>
      <c r="Z83">
        <v>-341.81531428571907</v>
      </c>
      <c r="AA83">
        <v>-1252.5296000000017</v>
      </c>
      <c r="AB83">
        <v>-2527.5296000000017</v>
      </c>
    </row>
    <row r="84" spans="14:28" x14ac:dyDescent="0.25">
      <c r="O84" s="24">
        <v>0.45</v>
      </c>
      <c r="P84">
        <v>10372.470399999998</v>
      </c>
      <c r="Q84">
        <v>10231.845399999998</v>
      </c>
      <c r="R84">
        <v>10072.470399999998</v>
      </c>
      <c r="S84">
        <v>9890.3275428571433</v>
      </c>
      <c r="T84">
        <v>9680.1627076923032</v>
      </c>
      <c r="U84">
        <v>9434.9703999999983</v>
      </c>
      <c r="V84">
        <v>9145.1976727272704</v>
      </c>
      <c r="W84">
        <v>8797.4703999999983</v>
      </c>
      <c r="X84">
        <v>8372.4703999999983</v>
      </c>
      <c r="Y84">
        <v>7841.2203999999983</v>
      </c>
      <c r="Z84">
        <v>7158.1846857142809</v>
      </c>
      <c r="AA84">
        <v>6247.4703999999983</v>
      </c>
      <c r="AB84">
        <v>4972.4703999999983</v>
      </c>
    </row>
    <row r="85" spans="14:28" x14ac:dyDescent="0.25">
      <c r="O85" s="24">
        <v>0.5</v>
      </c>
      <c r="P85">
        <v>17872.470399999998</v>
      </c>
      <c r="Q85">
        <v>17731.845399999998</v>
      </c>
      <c r="R85">
        <v>17572.470399999998</v>
      </c>
      <c r="S85">
        <v>17390.327542857143</v>
      </c>
      <c r="T85">
        <v>17180.162707692303</v>
      </c>
      <c r="U85">
        <v>16934.970399999998</v>
      </c>
      <c r="V85">
        <v>16645.19767272727</v>
      </c>
      <c r="W85">
        <v>16297.470399999998</v>
      </c>
      <c r="X85">
        <v>15872.470399999998</v>
      </c>
      <c r="Y85">
        <v>15341.220399999998</v>
      </c>
      <c r="Z85">
        <v>14658.184685714281</v>
      </c>
      <c r="AA85">
        <v>13747.470399999998</v>
      </c>
      <c r="AB85">
        <v>12472.470399999998</v>
      </c>
    </row>
    <row r="86" spans="14:28" x14ac:dyDescent="0.25">
      <c r="O86" s="24">
        <v>0.55000000000000004</v>
      </c>
      <c r="P86">
        <v>25372.470399999998</v>
      </c>
      <c r="Q86">
        <v>25231.845399999998</v>
      </c>
      <c r="R86">
        <v>25072.470399999998</v>
      </c>
      <c r="S86">
        <v>24890.327542857143</v>
      </c>
      <c r="T86">
        <v>24680.162707692303</v>
      </c>
      <c r="U86">
        <v>24434.970399999998</v>
      </c>
      <c r="V86">
        <v>24145.19767272727</v>
      </c>
      <c r="W86">
        <v>23797.470399999998</v>
      </c>
      <c r="X86">
        <v>23372.470399999998</v>
      </c>
      <c r="Y86">
        <v>22841.220399999998</v>
      </c>
      <c r="Z86">
        <v>22158.184685714281</v>
      </c>
      <c r="AA86">
        <v>21247.470399999998</v>
      </c>
      <c r="AB86">
        <v>19972.470399999998</v>
      </c>
    </row>
    <row r="87" spans="14:28" x14ac:dyDescent="0.25">
      <c r="O87" s="24">
        <v>0.6</v>
      </c>
      <c r="P87">
        <v>32872.470399999998</v>
      </c>
      <c r="Q87">
        <v>32731.845399999998</v>
      </c>
      <c r="R87">
        <v>32572.470399999998</v>
      </c>
      <c r="S87">
        <v>32390.327542857143</v>
      </c>
      <c r="T87">
        <v>32180.162707692303</v>
      </c>
      <c r="U87">
        <v>31934.970399999998</v>
      </c>
      <c r="V87">
        <v>31645.19767272727</v>
      </c>
      <c r="W87">
        <v>31297.470399999998</v>
      </c>
      <c r="X87">
        <v>30872.470399999998</v>
      </c>
      <c r="Y87">
        <v>30341.220399999998</v>
      </c>
      <c r="Z87">
        <v>29658.184685714281</v>
      </c>
      <c r="AA87">
        <v>28747.470399999998</v>
      </c>
      <c r="AB87">
        <v>27472.470399999998</v>
      </c>
    </row>
    <row r="88" spans="14:28" x14ac:dyDescent="0.25">
      <c r="O88" s="24">
        <v>0.65</v>
      </c>
      <c r="P88">
        <v>40372.470399999998</v>
      </c>
      <c r="Q88">
        <v>40231.845399999998</v>
      </c>
      <c r="R88">
        <v>40072.470399999998</v>
      </c>
      <c r="S88">
        <v>39890.327542857143</v>
      </c>
      <c r="T88">
        <v>39680.162707692303</v>
      </c>
      <c r="U88">
        <v>39434.970399999998</v>
      </c>
      <c r="V88">
        <v>39145.19767272727</v>
      </c>
      <c r="W88">
        <v>38797.470399999998</v>
      </c>
      <c r="X88">
        <v>38372.470399999998</v>
      </c>
      <c r="Y88">
        <v>37841.220399999998</v>
      </c>
      <c r="Z88">
        <v>37158.184685714281</v>
      </c>
      <c r="AA88">
        <v>36247.470399999998</v>
      </c>
      <c r="AB88">
        <v>34972.470399999998</v>
      </c>
    </row>
    <row r="89" spans="14:28" x14ac:dyDescent="0.25">
      <c r="O89" s="24">
        <v>0.7</v>
      </c>
      <c r="P89">
        <v>47872.470399999998</v>
      </c>
      <c r="Q89">
        <v>47731.845399999998</v>
      </c>
      <c r="R89">
        <v>47572.470399999998</v>
      </c>
      <c r="S89">
        <v>47390.327542857143</v>
      </c>
      <c r="T89">
        <v>47180.162707692303</v>
      </c>
      <c r="U89">
        <v>46934.970399999998</v>
      </c>
      <c r="V89">
        <v>46645.19767272727</v>
      </c>
      <c r="W89">
        <v>46297.470399999998</v>
      </c>
      <c r="X89">
        <v>45872.470399999998</v>
      </c>
      <c r="Y89">
        <v>45341.220399999998</v>
      </c>
      <c r="Z89">
        <v>44658.184685714281</v>
      </c>
      <c r="AA89">
        <v>43747.470399999998</v>
      </c>
      <c r="AB89">
        <v>42472.470399999998</v>
      </c>
    </row>
    <row r="90" spans="14:28" x14ac:dyDescent="0.25">
      <c r="O90" s="24">
        <v>0.75</v>
      </c>
      <c r="P90">
        <v>55372.470399999998</v>
      </c>
      <c r="Q90">
        <v>55231.845399999998</v>
      </c>
      <c r="R90">
        <v>55072.470399999998</v>
      </c>
      <c r="S90">
        <v>54890.327542857143</v>
      </c>
      <c r="T90">
        <v>54680.162707692303</v>
      </c>
      <c r="U90">
        <v>54434.970399999998</v>
      </c>
      <c r="V90">
        <v>54145.19767272727</v>
      </c>
      <c r="W90">
        <v>53797.470399999998</v>
      </c>
      <c r="X90">
        <v>53372.470399999998</v>
      </c>
      <c r="Y90">
        <v>52841.220399999998</v>
      </c>
      <c r="Z90">
        <v>52158.184685714281</v>
      </c>
      <c r="AA90">
        <v>51247.470399999998</v>
      </c>
      <c r="AB90">
        <v>49972.470399999998</v>
      </c>
    </row>
    <row r="91" spans="14:28" x14ac:dyDescent="0.25">
      <c r="O91" s="24">
        <v>0.8</v>
      </c>
      <c r="P91">
        <v>62872.470399999998</v>
      </c>
      <c r="Q91">
        <v>62731.845399999998</v>
      </c>
      <c r="R91">
        <v>62572.470399999998</v>
      </c>
      <c r="S91">
        <v>62390.327542857143</v>
      </c>
      <c r="T91">
        <v>62180.162707692303</v>
      </c>
      <c r="U91">
        <v>61934.970399999998</v>
      </c>
      <c r="V91">
        <v>61645.19767272727</v>
      </c>
      <c r="W91">
        <v>61297.470399999998</v>
      </c>
      <c r="X91">
        <v>60872.470399999998</v>
      </c>
      <c r="Y91">
        <v>60341.220399999998</v>
      </c>
      <c r="Z91">
        <v>59658.184685714281</v>
      </c>
      <c r="AA91">
        <v>58747.470399999998</v>
      </c>
      <c r="AB91">
        <v>57472.470399999998</v>
      </c>
    </row>
    <row r="92" spans="14:28" x14ac:dyDescent="0.25">
      <c r="O92" s="24">
        <v>0.85</v>
      </c>
      <c r="P92">
        <v>70372.470399999991</v>
      </c>
      <c r="Q92">
        <v>70231.845399999991</v>
      </c>
      <c r="R92">
        <v>70072.470399999991</v>
      </c>
      <c r="S92">
        <v>69890.327542857151</v>
      </c>
      <c r="T92">
        <v>69680.162707692303</v>
      </c>
      <c r="U92">
        <v>69434.970399999991</v>
      </c>
      <c r="V92">
        <v>69145.19767272727</v>
      </c>
      <c r="W92">
        <v>68797.470399999991</v>
      </c>
      <c r="X92">
        <v>68372.470399999991</v>
      </c>
      <c r="Y92">
        <v>67841.220399999991</v>
      </c>
      <c r="Z92">
        <v>67158.184685714281</v>
      </c>
      <c r="AA92">
        <v>66247.470399999991</v>
      </c>
      <c r="AB92">
        <v>64972.470399999998</v>
      </c>
    </row>
    <row r="93" spans="14:28" x14ac:dyDescent="0.25">
      <c r="O93" s="24">
        <v>0.9</v>
      </c>
      <c r="P93">
        <v>77872.470399999991</v>
      </c>
      <c r="Q93">
        <v>77731.845399999991</v>
      </c>
      <c r="R93">
        <v>77572.470399999991</v>
      </c>
      <c r="S93">
        <v>77390.327542857151</v>
      </c>
      <c r="T93">
        <v>77180.162707692303</v>
      </c>
      <c r="U93">
        <v>76934.970399999991</v>
      </c>
      <c r="V93">
        <v>76645.19767272727</v>
      </c>
      <c r="W93">
        <v>76297.470399999991</v>
      </c>
      <c r="X93">
        <v>75872.470399999991</v>
      </c>
      <c r="Y93">
        <v>75341.220399999991</v>
      </c>
      <c r="Z93">
        <v>74658.184685714281</v>
      </c>
      <c r="AA93">
        <v>73747.470399999991</v>
      </c>
      <c r="AB93">
        <v>72472.470399999991</v>
      </c>
    </row>
    <row r="94" spans="14:28" x14ac:dyDescent="0.25">
      <c r="O94" s="24">
        <v>0.95</v>
      </c>
      <c r="P94">
        <v>85372.470399999991</v>
      </c>
      <c r="Q94">
        <v>85231.845399999991</v>
      </c>
      <c r="R94">
        <v>85072.470399999991</v>
      </c>
      <c r="S94">
        <v>84890.327542857151</v>
      </c>
      <c r="T94">
        <v>84680.162707692303</v>
      </c>
      <c r="U94">
        <v>84434.970399999991</v>
      </c>
      <c r="V94">
        <v>84145.19767272727</v>
      </c>
      <c r="W94">
        <v>83797.470399999991</v>
      </c>
      <c r="X94">
        <v>83372.470399999991</v>
      </c>
      <c r="Y94">
        <v>82841.220399999991</v>
      </c>
      <c r="Z94">
        <v>82158.184685714281</v>
      </c>
      <c r="AA94">
        <v>81247.470399999991</v>
      </c>
      <c r="AB94">
        <v>79972.470399999991</v>
      </c>
    </row>
    <row r="95" spans="14:28" x14ac:dyDescent="0.25">
      <c r="O95" s="24">
        <v>1</v>
      </c>
      <c r="P95">
        <v>92872.470399999991</v>
      </c>
      <c r="Q95">
        <v>92731.845399999991</v>
      </c>
      <c r="R95">
        <v>92572.470399999991</v>
      </c>
      <c r="S95">
        <v>92390.327542857151</v>
      </c>
      <c r="T95">
        <v>92180.162707692303</v>
      </c>
      <c r="U95">
        <v>91934.970399999991</v>
      </c>
      <c r="V95">
        <v>91645.19767272727</v>
      </c>
      <c r="W95">
        <v>91297.470399999991</v>
      </c>
      <c r="X95">
        <v>90872.470399999991</v>
      </c>
      <c r="Y95">
        <v>90341.220399999991</v>
      </c>
      <c r="Z95">
        <v>89658.184685714281</v>
      </c>
      <c r="AA95">
        <v>88747.470399999991</v>
      </c>
      <c r="AB95">
        <v>87472.470399999991</v>
      </c>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7"/>
  <sheetViews>
    <sheetView workbookViewId="0">
      <selection activeCell="B52" sqref="B52"/>
    </sheetView>
  </sheetViews>
  <sheetFormatPr defaultRowHeight="15" x14ac:dyDescent="0.25"/>
  <cols>
    <col min="1" max="1" width="31" customWidth="1"/>
    <col min="2" max="2" width="15" bestFit="1" customWidth="1"/>
    <col min="3" max="3" width="17.140625" customWidth="1"/>
    <col min="4" max="4" width="18.140625" customWidth="1"/>
    <col min="5" max="5" width="23" bestFit="1" customWidth="1"/>
    <col min="6" max="6" width="14.85546875" bestFit="1" customWidth="1"/>
    <col min="7" max="7" width="24.140625" customWidth="1"/>
    <col min="8" max="8" width="27.5703125" bestFit="1" customWidth="1"/>
    <col min="9" max="13" width="21.85546875" bestFit="1" customWidth="1"/>
  </cols>
  <sheetData>
    <row r="1" spans="1:13" x14ac:dyDescent="0.25">
      <c r="A1" s="3" t="s">
        <v>32</v>
      </c>
    </row>
    <row r="2" spans="1:13" x14ac:dyDescent="0.25">
      <c r="A2" s="3" t="s">
        <v>33</v>
      </c>
    </row>
    <row r="4" spans="1:13" ht="15.75" thickBot="1" x14ac:dyDescent="0.3">
      <c r="A4" s="3" t="s">
        <v>34</v>
      </c>
    </row>
    <row r="5" spans="1:13" x14ac:dyDescent="0.25">
      <c r="A5" s="42" t="s">
        <v>35</v>
      </c>
      <c r="B5" s="43" t="s">
        <v>36</v>
      </c>
      <c r="C5" s="43" t="s">
        <v>37</v>
      </c>
      <c r="D5" s="43" t="s">
        <v>38</v>
      </c>
      <c r="E5" s="43" t="s">
        <v>35</v>
      </c>
      <c r="F5" s="44"/>
      <c r="G5" s="44"/>
      <c r="H5" s="45" t="s">
        <v>39</v>
      </c>
    </row>
    <row r="6" spans="1:13" x14ac:dyDescent="0.25">
      <c r="A6" s="46" t="s">
        <v>40</v>
      </c>
      <c r="B6" s="47">
        <v>0</v>
      </c>
      <c r="C6" s="47">
        <v>960</v>
      </c>
      <c r="D6" s="47">
        <f>SUM(B6:C6)</f>
        <v>960</v>
      </c>
      <c r="E6" s="48" t="s">
        <v>40</v>
      </c>
      <c r="F6" s="47"/>
      <c r="G6" s="47"/>
      <c r="H6" s="49" t="s">
        <v>45</v>
      </c>
    </row>
    <row r="7" spans="1:13" x14ac:dyDescent="0.25">
      <c r="A7" s="46" t="s">
        <v>41</v>
      </c>
      <c r="B7" s="47">
        <v>2080</v>
      </c>
      <c r="C7" s="47">
        <v>0</v>
      </c>
      <c r="D7" s="47">
        <f>SUM(B7:C7)</f>
        <v>2080</v>
      </c>
      <c r="E7" s="48" t="s">
        <v>41</v>
      </c>
      <c r="F7" s="47"/>
      <c r="G7" s="47"/>
      <c r="H7" s="49" t="s">
        <v>46</v>
      </c>
    </row>
    <row r="8" spans="1:13" x14ac:dyDescent="0.25">
      <c r="A8" s="46" t="s">
        <v>42</v>
      </c>
      <c r="B8" s="47">
        <v>2080</v>
      </c>
      <c r="C8" s="47">
        <v>960</v>
      </c>
      <c r="D8" s="47">
        <f>SUM(B8:C8)</f>
        <v>3040</v>
      </c>
      <c r="E8" s="48" t="s">
        <v>42</v>
      </c>
      <c r="F8" s="47"/>
      <c r="G8" s="47"/>
      <c r="H8" s="49" t="s">
        <v>47</v>
      </c>
    </row>
    <row r="9" spans="1:13" x14ac:dyDescent="0.25">
      <c r="A9" s="46" t="s">
        <v>43</v>
      </c>
      <c r="B9" s="47">
        <v>2080</v>
      </c>
      <c r="C9" s="47">
        <f>960*2</f>
        <v>1920</v>
      </c>
      <c r="D9" s="47">
        <f>SUM(B9:C9)</f>
        <v>4000</v>
      </c>
      <c r="E9" s="48" t="s">
        <v>43</v>
      </c>
      <c r="F9" s="47"/>
      <c r="G9" s="47"/>
      <c r="H9" s="49" t="s">
        <v>48</v>
      </c>
    </row>
    <row r="10" spans="1:13" ht="15.75" thickBot="1" x14ac:dyDescent="0.3">
      <c r="A10" s="50" t="s">
        <v>44</v>
      </c>
      <c r="B10" s="47">
        <f>2*2080</f>
        <v>4160</v>
      </c>
      <c r="C10" s="47">
        <v>960</v>
      </c>
      <c r="D10" s="47">
        <f>SUM(B10:C10)</f>
        <v>5120</v>
      </c>
      <c r="E10" s="51" t="s">
        <v>44</v>
      </c>
      <c r="F10" s="47"/>
      <c r="G10" s="47"/>
      <c r="H10" s="52" t="s">
        <v>49</v>
      </c>
    </row>
    <row r="12" spans="1:13" x14ac:dyDescent="0.25">
      <c r="A12" s="36" t="s">
        <v>58</v>
      </c>
      <c r="J12" s="56" t="s">
        <v>172</v>
      </c>
      <c r="K12" s="56"/>
      <c r="L12" s="56"/>
      <c r="M12" s="56"/>
    </row>
    <row r="13" spans="1:13" x14ac:dyDescent="0.25">
      <c r="A13" s="53" t="s">
        <v>59</v>
      </c>
      <c r="B13" s="54" t="s">
        <v>61</v>
      </c>
      <c r="C13" s="54" t="s">
        <v>62</v>
      </c>
      <c r="D13" s="54" t="s">
        <v>67</v>
      </c>
      <c r="E13" s="55" t="s">
        <v>63</v>
      </c>
      <c r="F13" s="54" t="s">
        <v>64</v>
      </c>
      <c r="G13" s="54" t="s">
        <v>65</v>
      </c>
      <c r="H13" s="55" t="s">
        <v>66</v>
      </c>
      <c r="I13" s="54" t="s">
        <v>167</v>
      </c>
      <c r="J13" s="54" t="s">
        <v>168</v>
      </c>
      <c r="K13" s="54" t="s">
        <v>169</v>
      </c>
      <c r="L13" s="54" t="s">
        <v>170</v>
      </c>
      <c r="M13" s="54" t="s">
        <v>171</v>
      </c>
    </row>
    <row r="14" spans="1:13" x14ac:dyDescent="0.25">
      <c r="A14" s="53" t="s">
        <v>56</v>
      </c>
      <c r="B14" s="56">
        <v>50</v>
      </c>
      <c r="C14" s="56">
        <v>2.6</v>
      </c>
      <c r="D14" s="57">
        <f>B14/C14</f>
        <v>19.23076923076923</v>
      </c>
      <c r="E14" s="58">
        <v>3.35</v>
      </c>
      <c r="F14" s="56">
        <v>52</v>
      </c>
      <c r="G14" s="58">
        <f>(B14/C14)*E14</f>
        <v>64.42307692307692</v>
      </c>
      <c r="H14" s="59">
        <f>ROUND(G14*F14,0)</f>
        <v>3350</v>
      </c>
      <c r="I14" s="56">
        <f>ROUND(D14*F14,0)</f>
        <v>1000</v>
      </c>
      <c r="J14" s="56">
        <v>1100</v>
      </c>
      <c r="K14" s="56">
        <v>1200</v>
      </c>
      <c r="L14" s="56">
        <v>1300</v>
      </c>
      <c r="M14" s="56">
        <v>1400</v>
      </c>
    </row>
    <row r="15" spans="1:13" x14ac:dyDescent="0.25">
      <c r="A15" s="53" t="s">
        <v>60</v>
      </c>
      <c r="B15" s="56">
        <v>200</v>
      </c>
      <c r="C15" s="56">
        <v>15</v>
      </c>
      <c r="D15" s="57">
        <f>B15/C15</f>
        <v>13.333333333333334</v>
      </c>
      <c r="E15" s="58">
        <v>2.15</v>
      </c>
      <c r="F15" s="56">
        <v>52</v>
      </c>
      <c r="G15" s="58">
        <f>(B15/C15)*E15</f>
        <v>28.666666666666668</v>
      </c>
      <c r="H15" s="59">
        <f>ROUND(G15*F15,0)</f>
        <v>1491</v>
      </c>
      <c r="I15" s="56">
        <f>ROUND(D15*F15,0)</f>
        <v>693</v>
      </c>
    </row>
    <row r="17" spans="1:10" x14ac:dyDescent="0.25">
      <c r="A17" s="35" t="s">
        <v>71</v>
      </c>
    </row>
    <row r="18" spans="1:10" x14ac:dyDescent="0.25">
      <c r="A18" s="60" t="s">
        <v>4</v>
      </c>
      <c r="B18" s="61" t="s">
        <v>78</v>
      </c>
      <c r="C18" s="61" t="s">
        <v>79</v>
      </c>
      <c r="D18" s="61" t="s">
        <v>80</v>
      </c>
    </row>
    <row r="19" spans="1:10" x14ac:dyDescent="0.25">
      <c r="A19" s="60" t="s">
        <v>81</v>
      </c>
      <c r="B19" s="62">
        <v>12.5</v>
      </c>
      <c r="C19" s="61">
        <v>50</v>
      </c>
      <c r="D19" s="62">
        <f>B19*C19</f>
        <v>625</v>
      </c>
      <c r="G19" s="117" t="s">
        <v>173</v>
      </c>
      <c r="H19" s="118">
        <v>500</v>
      </c>
    </row>
    <row r="20" spans="1:10" x14ac:dyDescent="0.25">
      <c r="A20" s="60" t="s">
        <v>82</v>
      </c>
      <c r="B20" s="62">
        <v>500</v>
      </c>
      <c r="C20" s="61">
        <v>1</v>
      </c>
      <c r="D20" s="62">
        <f>B20*C20</f>
        <v>500</v>
      </c>
      <c r="G20" s="117" t="s">
        <v>174</v>
      </c>
      <c r="H20" s="118">
        <v>500</v>
      </c>
    </row>
    <row r="21" spans="1:10" x14ac:dyDescent="0.25">
      <c r="A21" s="60" t="s">
        <v>83</v>
      </c>
      <c r="B21" s="62">
        <v>900</v>
      </c>
      <c r="C21" s="61">
        <v>1</v>
      </c>
      <c r="D21" s="62">
        <f>B21*C21</f>
        <v>900</v>
      </c>
    </row>
    <row r="22" spans="1:10" x14ac:dyDescent="0.25">
      <c r="A22" s="60" t="s">
        <v>84</v>
      </c>
      <c r="B22" s="62">
        <v>600</v>
      </c>
      <c r="C22" s="61">
        <v>1</v>
      </c>
      <c r="D22" s="62">
        <f>B22*C22</f>
        <v>600</v>
      </c>
      <c r="G22" s="99" t="s">
        <v>175</v>
      </c>
      <c r="H22" s="116">
        <v>500</v>
      </c>
    </row>
    <row r="23" spans="1:10" x14ac:dyDescent="0.25">
      <c r="A23" s="60" t="s">
        <v>85</v>
      </c>
      <c r="B23" s="62">
        <v>300</v>
      </c>
      <c r="C23" s="61">
        <v>1</v>
      </c>
      <c r="D23" s="62">
        <f>B23*C23</f>
        <v>300</v>
      </c>
      <c r="G23" s="99" t="s">
        <v>176</v>
      </c>
      <c r="H23" s="116">
        <v>100</v>
      </c>
    </row>
    <row r="24" spans="1:10" x14ac:dyDescent="0.25">
      <c r="A24" s="63" t="s">
        <v>86</v>
      </c>
      <c r="B24" s="62"/>
      <c r="C24" s="61"/>
      <c r="D24" s="64">
        <f>SUM(D19:D23)</f>
        <v>2925</v>
      </c>
    </row>
    <row r="25" spans="1:10" x14ac:dyDescent="0.25">
      <c r="G25" s="120" t="s">
        <v>179</v>
      </c>
      <c r="H25" s="121">
        <v>15</v>
      </c>
    </row>
    <row r="26" spans="1:10" x14ac:dyDescent="0.25">
      <c r="A26" s="35" t="s">
        <v>73</v>
      </c>
      <c r="G26" s="120" t="s">
        <v>180</v>
      </c>
      <c r="H26" s="120">
        <v>10</v>
      </c>
    </row>
    <row r="27" spans="1:10" ht="61.5" customHeight="1" x14ac:dyDescent="0.25">
      <c r="A27" s="66" t="s">
        <v>87</v>
      </c>
      <c r="B27" s="67">
        <v>0</v>
      </c>
    </row>
    <row r="28" spans="1:10" x14ac:dyDescent="0.25">
      <c r="A28" s="66"/>
      <c r="B28" s="67"/>
    </row>
    <row r="30" spans="1:10" x14ac:dyDescent="0.25">
      <c r="A30" s="3" t="s">
        <v>94</v>
      </c>
    </row>
    <row r="31" spans="1:10" x14ac:dyDescent="0.25">
      <c r="A31" s="74" t="s">
        <v>95</v>
      </c>
      <c r="B31" s="74" t="s">
        <v>96</v>
      </c>
      <c r="C31" s="74" t="s">
        <v>97</v>
      </c>
      <c r="D31" s="74" t="s">
        <v>98</v>
      </c>
      <c r="E31" s="74" t="s">
        <v>99</v>
      </c>
      <c r="F31" s="74" t="s">
        <v>100</v>
      </c>
      <c r="G31" s="74" t="s">
        <v>101</v>
      </c>
      <c r="H31" s="74" t="s">
        <v>102</v>
      </c>
    </row>
    <row r="32" spans="1:10" x14ac:dyDescent="0.25">
      <c r="A32" s="28" t="s">
        <v>103</v>
      </c>
      <c r="B32" s="75">
        <v>20000</v>
      </c>
      <c r="C32" s="76">
        <v>0.2</v>
      </c>
      <c r="D32" s="65">
        <v>16000</v>
      </c>
      <c r="E32" s="77">
        <v>4.7500000000000001E-2</v>
      </c>
      <c r="F32" s="28">
        <v>7</v>
      </c>
      <c r="G32" s="29">
        <f>CUMPRINC((E32/12),(F32*12),D32,1,12,0)*(-1)</f>
        <v>1973.8172560427513</v>
      </c>
      <c r="H32" s="29">
        <f>CUMIPMT(E32/12,F32*12,D32,1,12,0)*(-1)</f>
        <v>717.3961536821646</v>
      </c>
      <c r="J32" s="24"/>
    </row>
    <row r="33" spans="1:10" x14ac:dyDescent="0.25">
      <c r="G33" s="29">
        <f>CUMPRINC(($E$32/12),($F$32*12),$D$32,13,24,0)*(-1)</f>
        <v>2069.6419021849592</v>
      </c>
      <c r="H33" s="29">
        <f>CUMIPMT($E$32/12,$F$32*12,$D$32,13,24,0)*(-1)</f>
        <v>621.57150753995666</v>
      </c>
      <c r="J33" s="24"/>
    </row>
    <row r="34" spans="1:10" x14ac:dyDescent="0.25">
      <c r="G34" s="29">
        <f>CUMPRINC(($E$32/12),($F$32*12),$D$32,25,36,0)*(-1)</f>
        <v>2170.1186318876726</v>
      </c>
      <c r="H34" s="29">
        <f>CUMIPMT($E$32/12,$F$32*12,$D$32,25,36,0)*(-1)</f>
        <v>521.09477783724333</v>
      </c>
      <c r="J34" s="24"/>
    </row>
    <row r="35" spans="1:10" x14ac:dyDescent="0.25">
      <c r="G35" s="29">
        <f>CUMPRINC(($E$32/12),($F$32*12),$D$32,37,48,0)*(-1)</f>
        <v>2275.4732939520641</v>
      </c>
      <c r="H35" s="29">
        <f>CUMIPMT($E$32/12,$F$32*12,$D$32,37,48,0)*(-1)</f>
        <v>415.74011577285182</v>
      </c>
      <c r="J35" s="24"/>
    </row>
    <row r="36" spans="1:10" x14ac:dyDescent="0.25">
      <c r="G36" s="29">
        <f>CUMPRINC(($E$32/12),($F$32*12),$D$32,49,60,0)*(-1)</f>
        <v>2385.9427016601285</v>
      </c>
      <c r="H36" s="29">
        <f>CUMIPMT($E$32/12,$F$32*12,$D$32,49,60,0)*(-1)</f>
        <v>305.27070806478741</v>
      </c>
      <c r="J36" s="24"/>
    </row>
    <row r="37" spans="1:10" x14ac:dyDescent="0.25">
      <c r="J37" s="24"/>
    </row>
    <row r="38" spans="1:10" x14ac:dyDescent="0.25">
      <c r="A38" s="28" t="s">
        <v>104</v>
      </c>
      <c r="B38" s="29">
        <v>25000</v>
      </c>
      <c r="C38" s="76">
        <v>0.2</v>
      </c>
      <c r="D38" s="75">
        <v>20000</v>
      </c>
      <c r="E38" s="77">
        <v>4.7500000000000001E-2</v>
      </c>
      <c r="F38" s="28">
        <v>7</v>
      </c>
      <c r="G38" s="29">
        <f>CUMPRINC((E38/12),(F38*12),D38,1,12,0)*(-1)</f>
        <v>2467.2715700534395</v>
      </c>
      <c r="H38" s="29">
        <f>CUMIPMT(E38/12,F38*12,D38,1,12,0)*(-1)</f>
        <v>896.74519210270591</v>
      </c>
      <c r="J38" s="24"/>
    </row>
    <row r="39" spans="1:10" x14ac:dyDescent="0.25">
      <c r="G39" s="29">
        <f>CUMPRINC(($E$38/12),($F$38*12),$D$38,13,24,0)*(-1)</f>
        <v>2587.0523777311992</v>
      </c>
      <c r="H39" s="29">
        <f>CUMIPMT($E$38/12,$F$38*12,$D$38,13,24,0)*(-1)</f>
        <v>776.96438442494627</v>
      </c>
    </row>
    <row r="40" spans="1:10" x14ac:dyDescent="0.25">
      <c r="G40" s="29">
        <f>CUMPRINC(($E$38/12),($F$38*12),$D$38,25,36,0)*(-1)</f>
        <v>2712.6482898595909</v>
      </c>
      <c r="H40" s="29">
        <f>CUMIPMT($E$38/12,$F$38*12,$D$38,25,36,0)*(-1)</f>
        <v>651.3684722965545</v>
      </c>
    </row>
    <row r="41" spans="1:10" x14ac:dyDescent="0.25">
      <c r="G41" s="29">
        <f>CUMPRINC(($E$38/12),($F$38*12),$D$38,37,48,0)*(-1)</f>
        <v>2844.3416174400804</v>
      </c>
      <c r="H41" s="29">
        <f>CUMIPMT($E$38/12,$F$38*12,$D$38,37,48,0)*(-1)</f>
        <v>519.67514471606501</v>
      </c>
    </row>
    <row r="42" spans="1:10" x14ac:dyDescent="0.25">
      <c r="G42" s="29">
        <f>CUMPRINC(($E$38/12),($F$38*12),$D$38,49,60,0)*(-1)</f>
        <v>2982.4283770751608</v>
      </c>
      <c r="H42" s="29">
        <f>CUMIPMT($E$38/12,$F$38*12,$D$38,49,60,0)*(-1)</f>
        <v>381.58838508098461</v>
      </c>
    </row>
    <row r="45" spans="1:10" x14ac:dyDescent="0.25">
      <c r="A45" s="79" t="s">
        <v>105</v>
      </c>
      <c r="B45" s="80" t="s">
        <v>106</v>
      </c>
      <c r="C45" s="80" t="s">
        <v>96</v>
      </c>
      <c r="D45" s="80" t="s">
        <v>107</v>
      </c>
      <c r="E45" s="80" t="s">
        <v>108</v>
      </c>
      <c r="F45" s="80" t="s">
        <v>109</v>
      </c>
      <c r="G45" s="80" t="s">
        <v>110</v>
      </c>
      <c r="H45" s="80" t="s">
        <v>111</v>
      </c>
    </row>
    <row r="46" spans="1:10" x14ac:dyDescent="0.25">
      <c r="A46" s="80" t="s">
        <v>112</v>
      </c>
      <c r="B46" s="80">
        <v>1</v>
      </c>
      <c r="C46" s="81">
        <v>2200</v>
      </c>
      <c r="D46" s="80">
        <v>1</v>
      </c>
      <c r="E46" s="81">
        <f>C46*D46</f>
        <v>2200</v>
      </c>
      <c r="F46" s="81">
        <f>E46</f>
        <v>2200</v>
      </c>
      <c r="G46" s="82">
        <v>7</v>
      </c>
      <c r="H46" s="81">
        <f t="shared" ref="H46:H52" si="0">ROUNDUP(F46/G46,0)</f>
        <v>315</v>
      </c>
    </row>
    <row r="47" spans="1:10" x14ac:dyDescent="0.25">
      <c r="A47" s="80" t="s">
        <v>104</v>
      </c>
      <c r="B47" s="80">
        <v>1</v>
      </c>
      <c r="C47" s="81">
        <v>25000</v>
      </c>
      <c r="D47" s="80">
        <v>1</v>
      </c>
      <c r="E47" s="81">
        <v>25000</v>
      </c>
      <c r="F47" s="81">
        <v>25000</v>
      </c>
      <c r="G47" s="82">
        <v>7</v>
      </c>
      <c r="H47" s="81">
        <f t="shared" si="0"/>
        <v>3572</v>
      </c>
    </row>
    <row r="48" spans="1:10" x14ac:dyDescent="0.25">
      <c r="A48" s="80" t="s">
        <v>113</v>
      </c>
      <c r="B48" s="80">
        <v>1</v>
      </c>
      <c r="C48" s="81">
        <v>20000</v>
      </c>
      <c r="D48" s="80">
        <v>1</v>
      </c>
      <c r="E48" s="81">
        <v>20000</v>
      </c>
      <c r="F48" s="81">
        <v>20000</v>
      </c>
      <c r="G48" s="82">
        <v>7</v>
      </c>
      <c r="H48" s="81">
        <f t="shared" si="0"/>
        <v>2858</v>
      </c>
    </row>
    <row r="49" spans="1:8" x14ac:dyDescent="0.25">
      <c r="A49" s="80" t="s">
        <v>191</v>
      </c>
      <c r="B49" s="80">
        <v>1</v>
      </c>
      <c r="C49" s="81">
        <v>30</v>
      </c>
      <c r="D49" s="80">
        <f>'Oyster Crop Budget'!C10+('Oyster Crop Budget'!C11*5)</f>
        <v>700</v>
      </c>
      <c r="E49" s="81">
        <f>C49*D49</f>
        <v>21000</v>
      </c>
      <c r="F49" s="81">
        <f>E49</f>
        <v>21000</v>
      </c>
      <c r="G49" s="82">
        <v>7</v>
      </c>
      <c r="H49" s="81">
        <f t="shared" si="0"/>
        <v>3000</v>
      </c>
    </row>
    <row r="50" spans="1:8" x14ac:dyDescent="0.25">
      <c r="A50" s="80" t="s">
        <v>114</v>
      </c>
      <c r="B50" s="80">
        <v>1</v>
      </c>
      <c r="C50" s="81">
        <v>6</v>
      </c>
      <c r="D50" s="81">
        <f>B50*C50*D49</f>
        <v>4200</v>
      </c>
      <c r="E50" s="81">
        <f>C50*D50</f>
        <v>25200</v>
      </c>
      <c r="F50" s="81">
        <f>E50</f>
        <v>25200</v>
      </c>
      <c r="G50" s="82">
        <v>7</v>
      </c>
      <c r="H50" s="81">
        <f t="shared" si="0"/>
        <v>3600</v>
      </c>
    </row>
    <row r="51" spans="1:8" x14ac:dyDescent="0.25">
      <c r="A51" s="80" t="s">
        <v>115</v>
      </c>
      <c r="B51" s="80">
        <v>1</v>
      </c>
      <c r="C51" s="81">
        <v>6</v>
      </c>
      <c r="D51" s="81">
        <f>B51*C51*D49</f>
        <v>4200</v>
      </c>
      <c r="E51" s="81">
        <f>C51*D51</f>
        <v>25200</v>
      </c>
      <c r="F51" s="81">
        <f>E51</f>
        <v>25200</v>
      </c>
      <c r="G51" s="82">
        <v>7</v>
      </c>
      <c r="H51" s="81">
        <f t="shared" si="0"/>
        <v>3600</v>
      </c>
    </row>
    <row r="52" spans="1:8" x14ac:dyDescent="0.25">
      <c r="A52" s="80" t="s">
        <v>116</v>
      </c>
      <c r="B52" s="80">
        <v>1</v>
      </c>
      <c r="C52" s="81">
        <v>6</v>
      </c>
      <c r="D52" s="81">
        <f>B52*C52*D49</f>
        <v>4200</v>
      </c>
      <c r="E52" s="81">
        <f>C52*D52</f>
        <v>25200</v>
      </c>
      <c r="F52" s="81">
        <f>E52</f>
        <v>25200</v>
      </c>
      <c r="G52" s="82">
        <v>7</v>
      </c>
      <c r="H52" s="81">
        <f t="shared" si="0"/>
        <v>3600</v>
      </c>
    </row>
    <row r="55" spans="1:8" x14ac:dyDescent="0.25">
      <c r="A55" s="122" t="s">
        <v>183</v>
      </c>
      <c r="B55" s="122"/>
      <c r="C55" s="122"/>
      <c r="D55" s="122"/>
    </row>
    <row r="56" spans="1:8" x14ac:dyDescent="0.25">
      <c r="A56" s="123" t="s">
        <v>181</v>
      </c>
      <c r="B56" s="122"/>
      <c r="C56" s="122"/>
      <c r="D56" s="122"/>
    </row>
    <row r="57" spans="1:8" x14ac:dyDescent="0.25">
      <c r="A57" s="122" t="s">
        <v>182</v>
      </c>
      <c r="B57" s="122"/>
      <c r="C57" s="122"/>
      <c r="D57" s="122"/>
    </row>
  </sheetData>
  <hyperlinks>
    <hyperlink ref="A56" r:id="rId1"/>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48"/>
  <sheetViews>
    <sheetView topLeftCell="A20" zoomScaleNormal="100" workbookViewId="0">
      <selection activeCell="C15" sqref="C15"/>
    </sheetView>
  </sheetViews>
  <sheetFormatPr defaultRowHeight="15" x14ac:dyDescent="0.25"/>
  <cols>
    <col min="2" max="2" width="48.140625" bestFit="1" customWidth="1"/>
    <col min="6" max="6" width="9.28515625" customWidth="1"/>
  </cols>
  <sheetData>
    <row r="1" spans="2:7" ht="27" customHeight="1" x14ac:dyDescent="0.25"/>
    <row r="2" spans="2:7" ht="21" x14ac:dyDescent="0.35">
      <c r="B2" s="1" t="s">
        <v>150</v>
      </c>
    </row>
    <row r="4" spans="2:7" x14ac:dyDescent="0.25">
      <c r="C4" t="s">
        <v>151</v>
      </c>
    </row>
    <row r="5" spans="2:7" x14ac:dyDescent="0.25">
      <c r="C5" t="s">
        <v>12</v>
      </c>
      <c r="D5" t="s">
        <v>13</v>
      </c>
      <c r="E5" t="s">
        <v>14</v>
      </c>
      <c r="F5" t="s">
        <v>15</v>
      </c>
      <c r="G5" t="s">
        <v>16</v>
      </c>
    </row>
    <row r="6" spans="2:7" x14ac:dyDescent="0.25">
      <c r="B6" s="19" t="s">
        <v>33</v>
      </c>
      <c r="C6" s="20"/>
      <c r="D6" s="20"/>
      <c r="E6" s="20"/>
      <c r="F6" s="20"/>
      <c r="G6" s="20"/>
    </row>
    <row r="7" spans="2:7" x14ac:dyDescent="0.25">
      <c r="B7" s="20" t="s">
        <v>152</v>
      </c>
      <c r="C7" s="90">
        <f>'Oyster Crop Budget'!F19/'Oyster Crop Budget'!F67</f>
        <v>2.3725469561542253E-2</v>
      </c>
      <c r="D7" s="90">
        <f>'Oyster Crop Budget'!G19/'Oyster Crop Budget'!G67</f>
        <v>4.502328905371366E-2</v>
      </c>
      <c r="E7" s="90">
        <f>'Oyster Crop Budget'!H19/'Oyster Crop Budget'!H67</f>
        <v>5.8435956589514573E-2</v>
      </c>
      <c r="F7" s="90">
        <f>'Oyster Crop Budget'!I19/'Oyster Crop Budget'!I67</f>
        <v>4.6520258727211043E-2</v>
      </c>
      <c r="G7" s="90">
        <f>'Oyster Crop Budget'!J19/'Oyster Crop Budget'!J67</f>
        <v>5.4895347887672481E-2</v>
      </c>
    </row>
    <row r="8" spans="2:7" x14ac:dyDescent="0.25">
      <c r="B8" s="20" t="s">
        <v>153</v>
      </c>
      <c r="C8" s="90">
        <f>('Oyster Crop Budget'!F20+'Oyster Crop Budget'!F21+'Oyster Crop Budget'!F22+'Oyster Crop Budget'!F23)/'Oyster Crop Budget'!F67</f>
        <v>0.29260139955305642</v>
      </c>
      <c r="D8" s="90">
        <f>('Oyster Crop Budget'!G20+'Oyster Crop Budget'!G21+'Oyster Crop Budget'!G22+'Oyster Crop Budget'!G23)/'Oyster Crop Budget'!G67</f>
        <v>0.37017538909472464</v>
      </c>
      <c r="E8" s="90">
        <f>('Oyster Crop Budget'!H20+'Oyster Crop Budget'!H21+'Oyster Crop Budget'!H22+'Oyster Crop Budget'!H23)/'Oyster Crop Budget'!H67</f>
        <v>0.36033939471590681</v>
      </c>
      <c r="F8" s="90">
        <f>('Oyster Crop Budget'!I20+'Oyster Crop Budget'!I21+'Oyster Crop Budget'!I22+'Oyster Crop Budget'!I23)/'Oyster Crop Budget'!I67</f>
        <v>0.57569583501220756</v>
      </c>
      <c r="G8" s="90">
        <f>('Oyster Crop Budget'!J20+'Oyster Crop Budget'!J21+'Oyster Crop Budget'!J22+'Oyster Crop Budget'!J23)/'Oyster Crop Budget'!J67</f>
        <v>0.56611578133079954</v>
      </c>
    </row>
    <row r="9" spans="2:7" x14ac:dyDescent="0.25">
      <c r="B9" s="20" t="s">
        <v>154</v>
      </c>
      <c r="C9" s="90">
        <f>('Oyster Crop Budget'!F24+'Oyster Crop Budget'!F25)/'Oyster Crop Budget'!F67</f>
        <v>0.10807649193210775</v>
      </c>
      <c r="D9" s="90">
        <f>('Oyster Crop Budget'!G24+'Oyster Crop Budget'!G25)/'Oyster Crop Budget'!G67</f>
        <v>0.14619326798617613</v>
      </c>
      <c r="E9" s="90">
        <f>('Oyster Crop Budget'!H24+'Oyster Crop Budget'!H25)/'Oyster Crop Budget'!H67</f>
        <v>0.1515209980274001</v>
      </c>
      <c r="F9" s="90">
        <f>('Oyster Crop Budget'!I24+'Oyster Crop Budget'!I25)/'Oyster Crop Budget'!I67</f>
        <v>0.10236646108632416</v>
      </c>
      <c r="G9" s="90">
        <f>('Oyster Crop Budget'!J24+'Oyster Crop Budget'!J25)/'Oyster Crop Budget'!J67</f>
        <v>0.10643239213986382</v>
      </c>
    </row>
    <row r="10" spans="2:7" x14ac:dyDescent="0.25">
      <c r="B10" s="20" t="s">
        <v>155</v>
      </c>
      <c r="C10" s="90">
        <f>('Oyster Crop Budget'!F26+'Oyster Crop Budget'!F27)/'Oyster Crop Budget'!F67</f>
        <v>2.2329853704980938E-2</v>
      </c>
      <c r="D10" s="90">
        <f>('Oyster Crop Budget'!G26+'Oyster Crop Budget'!G27)/'Oyster Crop Budget'!G67</f>
        <v>2.8249906857232103E-2</v>
      </c>
      <c r="E10" s="90">
        <f>('Oyster Crop Budget'!H26+'Oyster Crop Budget'!H27)/'Oyster Crop Budget'!H67</f>
        <v>2.7499273689183323E-2</v>
      </c>
      <c r="F10" s="90">
        <f>('Oyster Crop Budget'!I26+'Oyster Crop Budget'!I27)/'Oyster Crop Budget'!I67</f>
        <v>1.7513509167891215E-2</v>
      </c>
      <c r="G10" s="90">
        <f>('Oyster Crop Budget'!J26+'Oyster Crop Budget'!J27)/'Oyster Crop Budget'!J67</f>
        <v>1.7222069925544307E-2</v>
      </c>
    </row>
    <row r="11" spans="2:7" x14ac:dyDescent="0.25">
      <c r="B11" s="20" t="s">
        <v>73</v>
      </c>
      <c r="C11" s="90">
        <f>('Oyster Crop Budget'!F28+'Oyster Crop Budget'!F29)/'Oyster Crop Budget'!F67</f>
        <v>6.5314822087069249E-2</v>
      </c>
      <c r="D11" s="90">
        <f>('Oyster Crop Budget'!G28+'Oyster Crop Budget'!G29)/'Oyster Crop Budget'!G67</f>
        <v>0</v>
      </c>
      <c r="E11" s="90">
        <f>('Oyster Crop Budget'!H28+'Oyster Crop Budget'!H29)/'Oyster Crop Budget'!H67</f>
        <v>0</v>
      </c>
      <c r="F11" s="90">
        <f>('Oyster Crop Budget'!I28+'Oyster Crop Budget'!I29)/'Oyster Crop Budget'!I67</f>
        <v>0</v>
      </c>
      <c r="G11" s="90">
        <f>('Oyster Crop Budget'!J28+'Oyster Crop Budget'!J29)/'Oyster Crop Budget'!J67</f>
        <v>0</v>
      </c>
    </row>
    <row r="12" spans="2:7" x14ac:dyDescent="0.25">
      <c r="B12" s="19" t="s">
        <v>86</v>
      </c>
      <c r="C12" s="91">
        <f>SUM(C7:C11)</f>
        <v>0.51204803683875655</v>
      </c>
      <c r="D12" s="91">
        <f>SUM(D7:D11)</f>
        <v>0.58964185299184646</v>
      </c>
      <c r="E12" s="91">
        <f>SUM(E7:E11)</f>
        <v>0.59779562302200484</v>
      </c>
      <c r="F12" s="91">
        <f>SUM(F7:F11)</f>
        <v>0.74209606399363393</v>
      </c>
      <c r="G12" s="91">
        <f>SUM(G7:G11)</f>
        <v>0.7446655912838801</v>
      </c>
    </row>
    <row r="14" spans="2:7" x14ac:dyDescent="0.25">
      <c r="B14" s="88" t="s">
        <v>90</v>
      </c>
      <c r="C14" s="85" t="s">
        <v>12</v>
      </c>
      <c r="D14" s="85" t="s">
        <v>13</v>
      </c>
      <c r="E14" s="85" t="s">
        <v>14</v>
      </c>
      <c r="F14" s="85" t="s">
        <v>15</v>
      </c>
      <c r="G14" s="85" t="s">
        <v>16</v>
      </c>
    </row>
    <row r="15" spans="2:7" x14ac:dyDescent="0.25">
      <c r="B15" s="85" t="s">
        <v>156</v>
      </c>
      <c r="C15" s="92">
        <f>('Oyster Crop Budget'!F38+'Oyster Crop Budget'!F39)/'Oyster Crop Budget'!F67</f>
        <v>0.13525192389106955</v>
      </c>
      <c r="D15" s="92">
        <f>('Oyster Crop Budget'!G38+'Oyster Crop Budget'!G39)/'Oyster Crop Budget'!G67</f>
        <v>0.17108143592739761</v>
      </c>
      <c r="E15" s="92">
        <f>('Oyster Crop Budget'!H38+'Oyster Crop Budget'!H39)/'Oyster Crop Budget'!H67</f>
        <v>0.16653560146169419</v>
      </c>
      <c r="F15" s="92">
        <f>('Oyster Crop Budget'!I38+'Oyster Crop Budget'!I39)/'Oyster Crop Budget'!I67</f>
        <v>0.10606181152074921</v>
      </c>
      <c r="G15" s="92">
        <f>('Oyster Crop Budget'!J38+'Oyster Crop Budget'!J39)/'Oyster Crop Budget'!J67</f>
        <v>0.10429685546909633</v>
      </c>
    </row>
    <row r="16" spans="2:7" x14ac:dyDescent="0.25">
      <c r="B16" s="85" t="s">
        <v>157</v>
      </c>
      <c r="C16" s="92">
        <f>('Oyster Crop Budget'!F40+'Oyster Crop Budget'!F41+'Oyster Crop Budget'!F42)/'Oyster Crop Budget'!F67</f>
        <v>3.2378287872222362E-2</v>
      </c>
      <c r="D16" s="92">
        <f>('Oyster Crop Budget'!G40+'Oyster Crop Budget'!G41+'Oyster Crop Budget'!G42)/'Oyster Crop Budget'!G67</f>
        <v>4.0962364942986544E-2</v>
      </c>
      <c r="E16" s="92">
        <f>('Oyster Crop Budget'!H40+'Oyster Crop Budget'!H41+'Oyster Crop Budget'!H42)/'Oyster Crop Budget'!H67</f>
        <v>3.9873946849315819E-2</v>
      </c>
      <c r="F16" s="92">
        <f>('Oyster Crop Budget'!I40+'Oyster Crop Budget'!I41+'Oyster Crop Budget'!I42)/'Oyster Crop Budget'!I67</f>
        <v>2.5394588293442263E-2</v>
      </c>
      <c r="G16" s="92">
        <f>('Oyster Crop Budget'!J40+'Oyster Crop Budget'!J41+'Oyster Crop Budget'!J42)/'Oyster Crop Budget'!J67</f>
        <v>2.4972001392039245E-2</v>
      </c>
    </row>
    <row r="17" spans="2:7" x14ac:dyDescent="0.25">
      <c r="B17" s="85" t="s">
        <v>158</v>
      </c>
      <c r="C17" s="92">
        <f>('Oyster Crop Budget'!F43+'Oyster Crop Budget'!F44+'Oyster Crop Budget'!F45)/'Oyster Crop Budget'!F67</f>
        <v>1.8980375649233799E-2</v>
      </c>
      <c r="D17" s="92">
        <f>('Oyster Crop Budget'!G43+'Oyster Crop Budget'!G44+'Oyster Crop Budget'!G45)/'Oyster Crop Budget'!G67</f>
        <v>1.2712458085754446E-2</v>
      </c>
      <c r="E17" s="92">
        <f>('Oyster Crop Budget'!H43+'Oyster Crop Budget'!H44+'Oyster Crop Budget'!H45)/'Oyster Crop Budget'!H67</f>
        <v>1.2374673160132495E-2</v>
      </c>
      <c r="F17" s="92">
        <f>('Oyster Crop Budget'!I43+'Oyster Crop Budget'!I44+'Oyster Crop Budget'!I45)/'Oyster Crop Budget'!I67</f>
        <v>7.8810791255510479E-3</v>
      </c>
      <c r="G17" s="92">
        <f>('Oyster Crop Budget'!J43+'Oyster Crop Budget'!J44+'Oyster Crop Budget'!J45)/'Oyster Crop Budget'!J67</f>
        <v>7.749931466494938E-3</v>
      </c>
    </row>
    <row r="18" spans="2:7" x14ac:dyDescent="0.25">
      <c r="B18" s="85" t="s">
        <v>159</v>
      </c>
      <c r="C18" s="92">
        <f>'Oyster Crop Budget'!F46/'Oyster Crop Budget'!F67</f>
        <v>8.9319414819923754E-3</v>
      </c>
      <c r="D18" s="92">
        <f>'Oyster Crop Budget'!G46/'Oyster Crop Budget'!G67</f>
        <v>1.1299962742892841E-2</v>
      </c>
      <c r="E18" s="92">
        <f>'Oyster Crop Budget'!H46/'Oyster Crop Budget'!H67</f>
        <v>1.0999709475673329E-2</v>
      </c>
      <c r="F18" s="92">
        <f>'Oyster Crop Budget'!I46/'Oyster Crop Budget'!I67</f>
        <v>7.0054036671564866E-3</v>
      </c>
      <c r="G18" s="92">
        <f>'Oyster Crop Budget'!J46/'Oyster Crop Budget'!J67</f>
        <v>6.8888279702177231E-3</v>
      </c>
    </row>
    <row r="19" spans="2:7" x14ac:dyDescent="0.25">
      <c r="B19" s="85" t="s">
        <v>160</v>
      </c>
      <c r="C19" s="92">
        <f>'Oyster Crop Budget'!F47/'Oyster Crop Budget'!F67</f>
        <v>4.9125678150958065E-2</v>
      </c>
      <c r="D19" s="92">
        <f>'Oyster Crop Budget'!G47/'Oyster Crop Budget'!G67</f>
        <v>0</v>
      </c>
      <c r="E19" s="92">
        <f>'Oyster Crop Budget'!H47/'Oyster Crop Budget'!H67</f>
        <v>0</v>
      </c>
      <c r="F19" s="92">
        <f>'Oyster Crop Budget'!I47/'Oyster Crop Budget'!I67</f>
        <v>0</v>
      </c>
      <c r="G19" s="92">
        <f>'Oyster Crop Budget'!J47/'Oyster Crop Budget'!J67</f>
        <v>0</v>
      </c>
    </row>
    <row r="20" spans="2:7" x14ac:dyDescent="0.25">
      <c r="B20" s="85" t="s">
        <v>161</v>
      </c>
      <c r="C20" s="92">
        <f>('Oyster Crop Budget'!F48+'Oyster Crop Budget'!F49+'Oyster Crop Budget'!F50+'Oyster Crop Budget'!F51)/'Oyster Crop Budget'!F67</f>
        <v>0.21436659556781701</v>
      </c>
      <c r="D20" s="92">
        <f>('Oyster Crop Budget'!G48+'Oyster Crop Budget'!G49+'Oyster Crop Budget'!G50+'Oyster Crop Budget'!G51)/'Oyster Crop Budget'!G67</f>
        <v>0.13559955291471409</v>
      </c>
      <c r="E20" s="92">
        <f>('Oyster Crop Budget'!H48+'Oyster Crop Budget'!H49+'Oyster Crop Budget'!H50+'Oyster Crop Budget'!H51)/'Oyster Crop Budget'!H67</f>
        <v>0.13199651370807994</v>
      </c>
      <c r="F20" s="92">
        <f>('Oyster Crop Budget'!I48+'Oyster Crop Budget'!I49+'Oyster Crop Budget'!I50+'Oyster Crop Budget'!I51)/'Oyster Crop Budget'!I67</f>
        <v>8.406484400587784E-2</v>
      </c>
      <c r="G20" s="92">
        <f>('Oyster Crop Budget'!J48+'Oyster Crop Budget'!J49+'Oyster Crop Budget'!J50+'Oyster Crop Budget'!J51)/'Oyster Crop Budget'!J67</f>
        <v>8.2665935642612667E-2</v>
      </c>
    </row>
    <row r="21" spans="2:7" x14ac:dyDescent="0.25">
      <c r="B21" s="88" t="s">
        <v>86</v>
      </c>
      <c r="C21" s="93">
        <f>SUM(C15:C20)</f>
        <v>0.4590348026132931</v>
      </c>
      <c r="D21" s="93">
        <f>SUM(D15:D20)</f>
        <v>0.37165577461374555</v>
      </c>
      <c r="E21" s="93">
        <f>SUM(E15:E20)</f>
        <v>0.36178044465489578</v>
      </c>
      <c r="F21" s="93">
        <f>SUM(F15:F20)</f>
        <v>0.23040772661277686</v>
      </c>
      <c r="G21" s="93">
        <f>SUM(G15:G20)</f>
        <v>0.22657355194046092</v>
      </c>
    </row>
    <row r="23" spans="2:7" x14ac:dyDescent="0.25">
      <c r="B23" s="84" t="s">
        <v>162</v>
      </c>
      <c r="C23" s="94">
        <f>'Oyster Crop Budget'!F64/'Oyster Crop Budget'!F67</f>
        <v>2.8917160547950314E-2</v>
      </c>
      <c r="D23" s="94">
        <f>'Oyster Crop Budget'!G64/'Oyster Crop Budget'!G67</f>
        <v>3.8702372394407977E-2</v>
      </c>
      <c r="E23" s="94">
        <f>'Oyster Crop Budget'!H64/'Oyster Crop Budget'!H67</f>
        <v>4.042393232309948E-2</v>
      </c>
      <c r="F23" s="94">
        <f>'Oyster Crop Budget'!I64/'Oyster Crop Budget'!I67</f>
        <v>2.749620939358921E-2</v>
      </c>
      <c r="G23" s="94">
        <f>'Oyster Crop Budget'!J64/'Oyster Crop Budget'!J67</f>
        <v>2.8760856775658993E-2</v>
      </c>
    </row>
    <row r="25" spans="2:7" x14ac:dyDescent="0.25">
      <c r="B25" s="22" t="s">
        <v>163</v>
      </c>
      <c r="C25" s="96">
        <f>C12+C21+C23</f>
        <v>1</v>
      </c>
      <c r="D25" s="96">
        <f>D12+D21+D23</f>
        <v>1</v>
      </c>
      <c r="E25" s="96">
        <f>E12+E21+E23</f>
        <v>1</v>
      </c>
      <c r="F25" s="96">
        <f>F12+F21+F23</f>
        <v>1</v>
      </c>
      <c r="G25" s="96">
        <f>G12+G21+G23</f>
        <v>1</v>
      </c>
    </row>
    <row r="27" spans="2:7" ht="21" x14ac:dyDescent="0.35">
      <c r="B27" s="1" t="s">
        <v>164</v>
      </c>
    </row>
    <row r="29" spans="2:7" x14ac:dyDescent="0.25">
      <c r="B29" s="98" t="s">
        <v>33</v>
      </c>
      <c r="C29" s="99" t="s">
        <v>12</v>
      </c>
      <c r="D29" s="99" t="s">
        <v>13</v>
      </c>
      <c r="E29" s="99" t="s">
        <v>14</v>
      </c>
      <c r="F29" s="99" t="s">
        <v>15</v>
      </c>
      <c r="G29" s="99" t="s">
        <v>16</v>
      </c>
    </row>
    <row r="30" spans="2:7" x14ac:dyDescent="0.25">
      <c r="B30" s="99" t="s">
        <v>152</v>
      </c>
      <c r="C30" s="100">
        <f>'Oyster Crop Budget'!F19/'Oyster Crop Budget'!F7</f>
        <v>2.1250000000000005E-2</v>
      </c>
      <c r="D30" s="100">
        <f>'Oyster Crop Budget'!G19/'Oyster Crop Budget'!F8</f>
        <v>2.1250000000000002E-2</v>
      </c>
      <c r="E30" s="100">
        <f>'Oyster Crop Budget'!H19/'Oyster Crop Budget'!F9</f>
        <v>2.1250000000000005E-2</v>
      </c>
      <c r="F30" s="100">
        <f>'Oyster Crop Budget'!I19/'Oyster Crop Budget'!F10</f>
        <v>2.1250000000000002E-2</v>
      </c>
      <c r="G30" s="100">
        <f>'Oyster Crop Budget'!J19/'Oyster Crop Budget'!F11</f>
        <v>2.1250000000000002E-2</v>
      </c>
    </row>
    <row r="31" spans="2:7" x14ac:dyDescent="0.25">
      <c r="B31" s="99" t="s">
        <v>153</v>
      </c>
      <c r="C31" s="100">
        <f>('Oyster Crop Budget'!F20+'Oyster Crop Budget'!F21+'Oyster Crop Budget'!F22+'Oyster Crop Budget'!F23)/'Oyster Crop Budget'!F7</f>
        <v>0.26207193600000001</v>
      </c>
      <c r="D31" s="100">
        <f>('Oyster Crop Budget'!G20+'Oyster Crop Budget'!G21+'Oyster Crop Budget'!G22+'Oyster Crop Budget'!G23)/'Oyster Crop Budget'!F8</f>
        <v>0.17471462400000001</v>
      </c>
      <c r="E31" s="100">
        <f>('Oyster Crop Budget'!H20+'Oyster Crop Budget'!H21+'Oyster Crop Budget'!H22+'Oyster Crop Budget'!H23)/'Oyster Crop Budget'!F9</f>
        <v>0.131035968</v>
      </c>
      <c r="F31" s="100">
        <f>('Oyster Crop Budget'!I20+'Oyster Crop Budget'!I21+'Oyster Crop Budget'!I22+'Oyster Crop Budget'!I23)/'Oyster Crop Budget'!F10</f>
        <v>0.26297223680000004</v>
      </c>
      <c r="G31" s="100">
        <f>('Oyster Crop Budget'!J20+'Oyster Crop Budget'!J21+'Oyster Crop Budget'!J22+'Oyster Crop Budget'!J23)/'Oyster Crop Budget'!F11</f>
        <v>0.21914353066666667</v>
      </c>
    </row>
    <row r="32" spans="2:7" x14ac:dyDescent="0.25">
      <c r="B32" s="99" t="s">
        <v>154</v>
      </c>
      <c r="C32" s="100">
        <f>('Oyster Crop Budget'!F24+'Oyster Crop Budget'!F25)/'Oyster Crop Budget'!F7</f>
        <v>9.6799999999999997E-2</v>
      </c>
      <c r="D32" s="100">
        <f>('Oyster Crop Budget'!G24+'Oyster Crop Budget'!G25)/'Oyster Crop Budget'!F8</f>
        <v>6.9000000000000006E-2</v>
      </c>
      <c r="E32" s="100">
        <f>('Oyster Crop Budget'!H24+'Oyster Crop Budget'!H25)/'Oyster Crop Budget'!F9</f>
        <v>5.5100000000000003E-2</v>
      </c>
      <c r="F32" s="100">
        <f>('Oyster Crop Budget'!I24+'Oyster Crop Budget'!I25)/'Oyster Crop Budget'!F10</f>
        <v>4.6760000000000003E-2</v>
      </c>
      <c r="G32" s="100">
        <f>('Oyster Crop Budget'!J24+'Oyster Crop Budget'!J25)/'Oyster Crop Budget'!F11</f>
        <v>4.1200000000000001E-2</v>
      </c>
    </row>
    <row r="33" spans="2:7" x14ac:dyDescent="0.25">
      <c r="B33" s="99" t="s">
        <v>155</v>
      </c>
      <c r="C33" s="101">
        <f>('Oyster Crop Budget'!F26+'Oyster Crop Budget'!F27)/'Oyster Crop Budget'!F7</f>
        <v>0.02</v>
      </c>
      <c r="D33" s="101">
        <f>('Oyster Crop Budget'!G26+'Oyster Crop Budget'!G27)/'Oyster Crop Budget'!F8</f>
        <v>1.3333333333333334E-2</v>
      </c>
      <c r="E33" s="101">
        <f>('Oyster Crop Budget'!H26+'Oyster Crop Budget'!H27)/'Oyster Crop Budget'!F9</f>
        <v>0.01</v>
      </c>
      <c r="F33" s="101">
        <f>('Oyster Crop Budget'!I26+'Oyster Crop Budget'!I27)/'Oyster Crop Budget'!F10</f>
        <v>8.0000000000000002E-3</v>
      </c>
      <c r="G33" s="101">
        <f>('Oyster Crop Budget'!J26+'Oyster Crop Budget'!J27)/'Oyster Crop Budget'!F11</f>
        <v>6.6666666666666671E-3</v>
      </c>
    </row>
    <row r="34" spans="2:7" x14ac:dyDescent="0.25">
      <c r="B34" s="99" t="s">
        <v>73</v>
      </c>
      <c r="C34" s="101">
        <f>('Oyster Crop Budget'!F29+'Oyster Crop Budget'!F30)/'Oyster Crop Budget'!F7</f>
        <v>0</v>
      </c>
      <c r="D34" s="101">
        <f>('Oyster Crop Budget'!G29+'Oyster Crop Budget'!G30)/'Oyster Crop Budget'!F8</f>
        <v>0</v>
      </c>
      <c r="E34" s="101">
        <f>('Oyster Crop Budget'!H29+'Oyster Crop Budget'!H30)/'Oyster Crop Budget'!F9</f>
        <v>0</v>
      </c>
      <c r="F34" s="101">
        <f>('Oyster Crop Budget'!I29+'Oyster Crop Budget'!I30)/'Oyster Crop Budget'!F10</f>
        <v>0</v>
      </c>
      <c r="G34" s="101">
        <f>('Oyster Crop Budget'!J29+'Oyster Crop Budget'!J30)/'Oyster Crop Budget'!F11</f>
        <v>0</v>
      </c>
    </row>
    <row r="35" spans="2:7" x14ac:dyDescent="0.25">
      <c r="B35" s="98" t="s">
        <v>86</v>
      </c>
      <c r="C35" s="100">
        <f>SUM(C30:C34)</f>
        <v>0.40012193600000001</v>
      </c>
      <c r="D35" s="100">
        <f>SUM(D30:D34)</f>
        <v>0.27829795733333329</v>
      </c>
      <c r="E35" s="100">
        <f>SUM(E30:E34)</f>
        <v>0.21738596800000001</v>
      </c>
      <c r="F35" s="100">
        <f>SUM(F30:F34)</f>
        <v>0.33898223680000006</v>
      </c>
      <c r="G35" s="100">
        <f>SUM(G30:G34)</f>
        <v>0.2882601973333333</v>
      </c>
    </row>
    <row r="37" spans="2:7" x14ac:dyDescent="0.25">
      <c r="B37" s="95" t="s">
        <v>90</v>
      </c>
      <c r="C37" s="102" t="s">
        <v>12</v>
      </c>
      <c r="D37" s="102" t="s">
        <v>13</v>
      </c>
      <c r="E37" s="102" t="s">
        <v>14</v>
      </c>
      <c r="F37" s="102" t="s">
        <v>15</v>
      </c>
      <c r="G37" s="102" t="s">
        <v>16</v>
      </c>
    </row>
    <row r="38" spans="2:7" x14ac:dyDescent="0.25">
      <c r="B38" s="102" t="s">
        <v>156</v>
      </c>
      <c r="C38" s="103">
        <f>('Oyster Crop Budget'!F38+'Oyster Crop Budget'!F39)/'Oyster Crop Budget'!F7</f>
        <v>0.12114</v>
      </c>
      <c r="D38" s="103">
        <f>('Oyster Crop Budget'!G38+'Oyster Crop Budget'!G39)/'Oyster Crop Budget'!F8</f>
        <v>8.0746666666666661E-2</v>
      </c>
      <c r="E38" s="103">
        <f>('Oyster Crop Budget'!H38+'Oyster Crop Budget'!H39)/'Oyster Crop Budget'!F9</f>
        <v>6.0560000000000003E-2</v>
      </c>
      <c r="F38" s="103">
        <f>('Oyster Crop Budget'!I38+'Oyster Crop Budget'!I39)/'Oyster Crop Budget'!F10</f>
        <v>4.8447999999999998E-2</v>
      </c>
      <c r="G38" s="103">
        <f>('Oyster Crop Budget'!J38+'Oyster Crop Budget'!J39)/'Oyster Crop Budget'!F11</f>
        <v>4.0373333333333331E-2</v>
      </c>
    </row>
    <row r="39" spans="2:7" x14ac:dyDescent="0.25">
      <c r="B39" s="102" t="s">
        <v>157</v>
      </c>
      <c r="C39" s="104">
        <f>('Oyster Crop Budget'!F40+'Oyster Crop Budget'!F41+'Oyster Crop Budget'!F42)/'Oyster Crop Budget'!F7</f>
        <v>2.9000000000000001E-2</v>
      </c>
      <c r="D39" s="104">
        <f>('Oyster Crop Budget'!G40+'Oyster Crop Budget'!G41+'Oyster Crop Budget'!G42)/'Oyster Crop Budget'!F8</f>
        <v>1.9333333333333334E-2</v>
      </c>
      <c r="E39" s="104">
        <f>('Oyster Crop Budget'!H40+'Oyster Crop Budget'!H41+'Oyster Crop Budget'!H42)/'Oyster Crop Budget'!F9</f>
        <v>1.4500000000000001E-2</v>
      </c>
      <c r="F39" s="104">
        <f>('Oyster Crop Budget'!I40+'Oyster Crop Budget'!I41+'Oyster Crop Budget'!I42)/'Oyster Crop Budget'!F10</f>
        <v>1.1599999999999999E-2</v>
      </c>
      <c r="G39" s="104">
        <f>('Oyster Crop Budget'!J40+'Oyster Crop Budget'!J41+'Oyster Crop Budget'!J42)/'Oyster Crop Budget'!F11</f>
        <v>9.6666666666666672E-3</v>
      </c>
    </row>
    <row r="40" spans="2:7" x14ac:dyDescent="0.25">
      <c r="B40" s="102" t="s">
        <v>158</v>
      </c>
      <c r="C40" s="104">
        <f>('Oyster Crop Budget'!F43+'Oyster Crop Budget'!F44+'Oyster Crop Budget'!F45)/'Oyster Crop Budget'!F7</f>
        <v>1.7000000000000001E-2</v>
      </c>
      <c r="D40" s="104">
        <f>('Oyster Crop Budget'!G43+'Oyster Crop Budget'!G44+'Oyster Crop Budget'!G45)/'Oyster Crop Budget'!F8</f>
        <v>6.0000000000000001E-3</v>
      </c>
      <c r="E40" s="104">
        <f>('Oyster Crop Budget'!H43+'Oyster Crop Budget'!H44+'Oyster Crop Budget'!H45)/'Oyster Crop Budget'!F9</f>
        <v>4.4999999999999997E-3</v>
      </c>
      <c r="F40" s="104">
        <f>('Oyster Crop Budget'!I43+'Oyster Crop Budget'!I44+'Oyster Crop Budget'!I45)/'Oyster Crop Budget'!F10</f>
        <v>3.5999999999999999E-3</v>
      </c>
      <c r="G40" s="104">
        <f>('Oyster Crop Budget'!J43+'Oyster Crop Budget'!J44+'Oyster Crop Budget'!J45)/'Oyster Crop Budget'!F11</f>
        <v>3.0000000000000001E-3</v>
      </c>
    </row>
    <row r="41" spans="2:7" x14ac:dyDescent="0.25">
      <c r="B41" s="102" t="s">
        <v>159</v>
      </c>
      <c r="C41" s="104">
        <f>'Oyster Crop Budget'!F46/'Oyster Crop Budget'!F7</f>
        <v>8.0000000000000002E-3</v>
      </c>
      <c r="D41" s="104">
        <f>'Oyster Crop Budget'!G46/'Oyster Crop Budget'!F8</f>
        <v>5.3333333333333332E-3</v>
      </c>
      <c r="E41" s="104">
        <f>'Oyster Crop Budget'!H46/'Oyster Crop Budget'!F9</f>
        <v>4.0000000000000001E-3</v>
      </c>
      <c r="F41" s="104">
        <f>'Oyster Crop Budget'!I46/'Oyster Crop Budget'!F10</f>
        <v>3.2000000000000002E-3</v>
      </c>
      <c r="G41" s="104">
        <f>'Oyster Crop Budget'!J46/'Oyster Crop Budget'!F11</f>
        <v>2.6666666666666666E-3</v>
      </c>
    </row>
    <row r="42" spans="2:7" x14ac:dyDescent="0.25">
      <c r="B42" s="102" t="s">
        <v>160</v>
      </c>
      <c r="C42" s="103">
        <f>'Oyster Crop Budget'!F47/'Oyster Crop Budget'!F7</f>
        <v>4.3999999999999997E-2</v>
      </c>
      <c r="D42" s="105">
        <f>'Oyster Crop Budget'!G47/'Oyster Crop Budget'!F8</f>
        <v>0</v>
      </c>
      <c r="E42" s="105">
        <f>'Oyster Crop Budget'!H47/'Oyster Crop Budget'!F9</f>
        <v>0</v>
      </c>
      <c r="F42" s="105">
        <f>'Oyster Crop Budget'!I47/'Oyster Crop Budget'!F10</f>
        <v>0</v>
      </c>
      <c r="G42" s="105">
        <f>'Oyster Crop Budget'!J47/'Oyster Crop Budget'!F11</f>
        <v>0</v>
      </c>
    </row>
    <row r="43" spans="2:7" x14ac:dyDescent="0.25">
      <c r="B43" s="102" t="s">
        <v>161</v>
      </c>
      <c r="C43" s="103">
        <f>('Oyster Crop Budget'!F48+'Oyster Crop Budget'!F49+'Oyster Crop Budget'!F50+'Oyster Crop Budget'!F51)/'Oyster Crop Budget'!F7</f>
        <v>0.192</v>
      </c>
      <c r="D43" s="103">
        <f>('Oyster Crop Budget'!G48+'Oyster Crop Budget'!G49+'Oyster Crop Budget'!G50+'Oyster Crop Budget'!G51)/'Oyster Crop Budget'!F8</f>
        <v>6.4000000000000001E-2</v>
      </c>
      <c r="E43" s="103">
        <f>('Oyster Crop Budget'!H48+'Oyster Crop Budget'!H49+'Oyster Crop Budget'!H50+'Oyster Crop Budget'!H51)/'Oyster Crop Budget'!F9</f>
        <v>4.8000000000000001E-2</v>
      </c>
      <c r="F43" s="103">
        <f>('Oyster Crop Budget'!I48+'Oyster Crop Budget'!I49+'Oyster Crop Budget'!I50+'Oyster Crop Budget'!I51)/'Oyster Crop Budget'!F10</f>
        <v>3.8399999999999997E-2</v>
      </c>
      <c r="G43" s="103">
        <f>('Oyster Crop Budget'!J48+'Oyster Crop Budget'!J49+'Oyster Crop Budget'!J50+'Oyster Crop Budget'!J51)/'Oyster Crop Budget'!F11</f>
        <v>3.2000000000000001E-2</v>
      </c>
    </row>
    <row r="44" spans="2:7" x14ac:dyDescent="0.25">
      <c r="B44" s="95" t="s">
        <v>86</v>
      </c>
      <c r="C44" s="106">
        <f>SUM(C38:C43)</f>
        <v>0.41114000000000001</v>
      </c>
      <c r="D44" s="106">
        <f>SUM(D38:D43)</f>
        <v>0.17541333333333334</v>
      </c>
      <c r="E44" s="106">
        <f>SUM(E38:E43)</f>
        <v>0.13156000000000001</v>
      </c>
      <c r="F44" s="106">
        <f>SUM(F38:F43)</f>
        <v>0.10524799999999998</v>
      </c>
      <c r="G44" s="106">
        <f>SUM(G38:G43)</f>
        <v>8.7706666666666669E-2</v>
      </c>
    </row>
    <row r="46" spans="2:7" x14ac:dyDescent="0.25">
      <c r="B46" s="22" t="s">
        <v>162</v>
      </c>
      <c r="C46" s="107">
        <f>'Oyster Crop Budget'!F64/'Oyster Crop Budget'!F7</f>
        <v>2.5899999999999999E-2</v>
      </c>
      <c r="D46" s="107">
        <f>'Oyster Crop Budget'!G64/'Oyster Crop Budget'!F8</f>
        <v>1.8266666666666667E-2</v>
      </c>
      <c r="E46" s="107">
        <f>'Oyster Crop Budget'!H64/'Oyster Crop Budget'!F9</f>
        <v>1.47E-2</v>
      </c>
      <c r="F46" s="107">
        <f>'Oyster Crop Budget'!I64/'Oyster Crop Budget'!F10</f>
        <v>1.256E-2</v>
      </c>
      <c r="G46" s="107">
        <f>'Oyster Crop Budget'!J64/'Oyster Crop Budget'!F11</f>
        <v>1.1133333333333334E-2</v>
      </c>
    </row>
    <row r="48" spans="2:7" x14ac:dyDescent="0.25">
      <c r="B48" s="97" t="s">
        <v>165</v>
      </c>
      <c r="C48" s="108">
        <f>C35+C44+C46</f>
        <v>0.837161936</v>
      </c>
      <c r="D48" s="108">
        <f>D35+D44+D46</f>
        <v>0.47197795733333325</v>
      </c>
      <c r="E48" s="108">
        <f>E35+E44+E46</f>
        <v>0.36364596799999999</v>
      </c>
      <c r="F48" s="108">
        <f>F35+F44+F46</f>
        <v>0.45679023680000008</v>
      </c>
      <c r="G48" s="108">
        <f>G35+G44+G46</f>
        <v>0.38710019733333328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N11:AB95"/>
  <sheetViews>
    <sheetView topLeftCell="M1" zoomScaleNormal="100" workbookViewId="0">
      <selection activeCell="J76" sqref="J76"/>
    </sheetView>
  </sheetViews>
  <sheetFormatPr defaultRowHeight="15" x14ac:dyDescent="0.25"/>
  <cols>
    <col min="15" max="28" width="11.140625" bestFit="1" customWidth="1"/>
  </cols>
  <sheetData>
    <row r="11" spans="14:28" ht="23.25" x14ac:dyDescent="0.35">
      <c r="T11" s="113" t="s">
        <v>10</v>
      </c>
    </row>
    <row r="14" spans="14:28" x14ac:dyDescent="0.25">
      <c r="N14" s="3" t="str">
        <f>'Oyster Crop Budget'!N14</f>
        <v>Year 1</v>
      </c>
      <c r="O14" s="110">
        <f>'Oyster Crop Budget'!O14</f>
        <v>-23783.096799999999</v>
      </c>
      <c r="P14" s="111">
        <f>'Oyster Crop Budget'!P14</f>
        <v>0.15</v>
      </c>
      <c r="Q14" s="111">
        <f>'Oyster Crop Budget'!Q14</f>
        <v>0.2</v>
      </c>
      <c r="R14" s="111">
        <f>'Oyster Crop Budget'!R14</f>
        <v>0.25</v>
      </c>
      <c r="S14" s="111">
        <f>'Oyster Crop Budget'!S14</f>
        <v>0.3</v>
      </c>
      <c r="T14" s="111">
        <f>'Oyster Crop Budget'!T14</f>
        <v>0.35</v>
      </c>
      <c r="U14" s="111">
        <f>'Oyster Crop Budget'!U14</f>
        <v>0.4</v>
      </c>
      <c r="V14" s="111">
        <f>'Oyster Crop Budget'!V14</f>
        <v>0.45</v>
      </c>
      <c r="W14" s="111">
        <f>'Oyster Crop Budget'!W14</f>
        <v>0.5</v>
      </c>
      <c r="X14" s="111">
        <f>'Oyster Crop Budget'!X14</f>
        <v>0.55000000000000004</v>
      </c>
      <c r="Y14" s="111">
        <f>'Oyster Crop Budget'!Y14</f>
        <v>0.6</v>
      </c>
      <c r="Z14" s="111">
        <f>'Oyster Crop Budget'!Z14</f>
        <v>0.65</v>
      </c>
      <c r="AA14" s="111">
        <f>'Oyster Crop Budget'!AA14</f>
        <v>0.7</v>
      </c>
      <c r="AB14" s="111">
        <f>'Oyster Crop Budget'!AB14</f>
        <v>0.75</v>
      </c>
    </row>
    <row r="15" spans="14:28" x14ac:dyDescent="0.25">
      <c r="O15" s="110">
        <f>'Oyster Crop Budget'!O15</f>
        <v>0.35</v>
      </c>
      <c r="P15" s="112">
        <f>'Oyster Crop Budget'!P15</f>
        <v>-26970.596799999999</v>
      </c>
      <c r="Q15" s="112">
        <f>'Oyster Crop Budget'!Q15</f>
        <v>-27017.471799999999</v>
      </c>
      <c r="R15" s="112">
        <f>'Oyster Crop Budget'!R15</f>
        <v>-27070.596799999999</v>
      </c>
      <c r="S15" s="112">
        <f>'Oyster Crop Budget'!S15</f>
        <v>-27131.311085714289</v>
      </c>
      <c r="T15" s="112">
        <f>'Oyster Crop Budget'!T15</f>
        <v>-27201.366030769233</v>
      </c>
      <c r="U15" s="112">
        <f>'Oyster Crop Budget'!U15</f>
        <v>-27283.096799999999</v>
      </c>
      <c r="V15" s="112">
        <f>'Oyster Crop Budget'!V15</f>
        <v>-27379.687709090911</v>
      </c>
      <c r="W15" s="112">
        <f>'Oyster Crop Budget'!W15</f>
        <v>-27495.596799999999</v>
      </c>
      <c r="X15" s="112">
        <f>'Oyster Crop Budget'!X15</f>
        <v>-27637.263466666671</v>
      </c>
      <c r="Y15" s="112">
        <f>'Oyster Crop Budget'!Y15</f>
        <v>-27814.346799999999</v>
      </c>
      <c r="Z15" s="112">
        <f>'Oyster Crop Budget'!Z15</f>
        <v>-28042.025371428572</v>
      </c>
      <c r="AA15" s="112">
        <f>'Oyster Crop Budget'!AA15</f>
        <v>-28345.596799999999</v>
      </c>
      <c r="AB15" s="112">
        <f>'Oyster Crop Budget'!AB15</f>
        <v>-28770.596799999999</v>
      </c>
    </row>
    <row r="16" spans="14:28" x14ac:dyDescent="0.25">
      <c r="O16" s="110">
        <f>'Oyster Crop Budget'!O16</f>
        <v>0.4</v>
      </c>
      <c r="P16" s="112">
        <f>'Oyster Crop Budget'!P16</f>
        <v>-24470.596799999999</v>
      </c>
      <c r="Q16" s="112">
        <f>'Oyster Crop Budget'!Q16</f>
        <v>-24517.471799999999</v>
      </c>
      <c r="R16" s="112">
        <f>'Oyster Crop Budget'!R16</f>
        <v>-24570.596799999999</v>
      </c>
      <c r="S16" s="112">
        <f>'Oyster Crop Budget'!S16</f>
        <v>-24631.311085714289</v>
      </c>
      <c r="T16" s="112">
        <f>'Oyster Crop Budget'!T16</f>
        <v>-24701.366030769233</v>
      </c>
      <c r="U16" s="112">
        <f>'Oyster Crop Budget'!U16</f>
        <v>-24783.096799999999</v>
      </c>
      <c r="V16" s="112">
        <f>'Oyster Crop Budget'!V16</f>
        <v>-24879.687709090911</v>
      </c>
      <c r="W16" s="112">
        <f>'Oyster Crop Budget'!W16</f>
        <v>-24995.596799999999</v>
      </c>
      <c r="X16" s="112">
        <f>'Oyster Crop Budget'!X16</f>
        <v>-25137.263466666671</v>
      </c>
      <c r="Y16" s="112">
        <f>'Oyster Crop Budget'!Y16</f>
        <v>-25314.346799999999</v>
      </c>
      <c r="Z16" s="112">
        <f>'Oyster Crop Budget'!Z16</f>
        <v>-25542.025371428572</v>
      </c>
      <c r="AA16" s="112">
        <f>'Oyster Crop Budget'!AA16</f>
        <v>-25845.596799999999</v>
      </c>
      <c r="AB16" s="112">
        <f>'Oyster Crop Budget'!AB16</f>
        <v>-26270.596799999999</v>
      </c>
    </row>
    <row r="17" spans="14:28" x14ac:dyDescent="0.25">
      <c r="O17" s="110">
        <f>'Oyster Crop Budget'!O17</f>
        <v>0.45</v>
      </c>
      <c r="P17" s="112">
        <f>'Oyster Crop Budget'!P17</f>
        <v>-21970.596799999999</v>
      </c>
      <c r="Q17" s="112">
        <f>'Oyster Crop Budget'!Q17</f>
        <v>-22017.471799999999</v>
      </c>
      <c r="R17" s="112">
        <f>'Oyster Crop Budget'!R17</f>
        <v>-22070.596799999999</v>
      </c>
      <c r="S17" s="112">
        <f>'Oyster Crop Budget'!S17</f>
        <v>-22131.311085714289</v>
      </c>
      <c r="T17" s="112">
        <f>'Oyster Crop Budget'!T17</f>
        <v>-22201.366030769233</v>
      </c>
      <c r="U17" s="112">
        <f>'Oyster Crop Budget'!U17</f>
        <v>-22283.096799999999</v>
      </c>
      <c r="V17" s="112">
        <f>'Oyster Crop Budget'!V17</f>
        <v>-22379.687709090911</v>
      </c>
      <c r="W17" s="112">
        <f>'Oyster Crop Budget'!W17</f>
        <v>-22495.596799999999</v>
      </c>
      <c r="X17" s="112">
        <f>'Oyster Crop Budget'!X17</f>
        <v>-22637.263466666671</v>
      </c>
      <c r="Y17" s="112">
        <f>'Oyster Crop Budget'!Y17</f>
        <v>-22814.346799999999</v>
      </c>
      <c r="Z17" s="112">
        <f>'Oyster Crop Budget'!Z17</f>
        <v>-23042.025371428572</v>
      </c>
      <c r="AA17" s="112">
        <f>'Oyster Crop Budget'!AA17</f>
        <v>-23345.596799999999</v>
      </c>
      <c r="AB17" s="112">
        <f>'Oyster Crop Budget'!AB17</f>
        <v>-23770.596799999999</v>
      </c>
    </row>
    <row r="18" spans="14:28" x14ac:dyDescent="0.25">
      <c r="O18" s="110">
        <f>'Oyster Crop Budget'!O18</f>
        <v>0.5</v>
      </c>
      <c r="P18" s="112">
        <f>'Oyster Crop Budget'!P18</f>
        <v>-19470.596799999999</v>
      </c>
      <c r="Q18" s="112">
        <f>'Oyster Crop Budget'!Q18</f>
        <v>-19517.471799999999</v>
      </c>
      <c r="R18" s="112">
        <f>'Oyster Crop Budget'!R18</f>
        <v>-19570.596799999999</v>
      </c>
      <c r="S18" s="112">
        <f>'Oyster Crop Budget'!S18</f>
        <v>-19631.311085714289</v>
      </c>
      <c r="T18" s="112">
        <f>'Oyster Crop Budget'!T18</f>
        <v>-19701.366030769233</v>
      </c>
      <c r="U18" s="112">
        <f>'Oyster Crop Budget'!U18</f>
        <v>-19783.096799999999</v>
      </c>
      <c r="V18" s="112">
        <f>'Oyster Crop Budget'!V18</f>
        <v>-19879.687709090911</v>
      </c>
      <c r="W18" s="112">
        <f>'Oyster Crop Budget'!W18</f>
        <v>-19995.596799999999</v>
      </c>
      <c r="X18" s="112">
        <f>'Oyster Crop Budget'!X18</f>
        <v>-20137.263466666671</v>
      </c>
      <c r="Y18" s="112">
        <f>'Oyster Crop Budget'!Y18</f>
        <v>-20314.346799999999</v>
      </c>
      <c r="Z18" s="112">
        <f>'Oyster Crop Budget'!Z18</f>
        <v>-20542.025371428572</v>
      </c>
      <c r="AA18" s="112">
        <f>'Oyster Crop Budget'!AA18</f>
        <v>-20845.596799999999</v>
      </c>
      <c r="AB18" s="112">
        <f>'Oyster Crop Budget'!AB18</f>
        <v>-21270.596799999999</v>
      </c>
    </row>
    <row r="19" spans="14:28" x14ac:dyDescent="0.25">
      <c r="O19" s="110">
        <f>'Oyster Crop Budget'!O19</f>
        <v>0.55000000000000004</v>
      </c>
      <c r="P19" s="112">
        <f>'Oyster Crop Budget'!P19</f>
        <v>-16970.596799999996</v>
      </c>
      <c r="Q19" s="112">
        <f>'Oyster Crop Budget'!Q19</f>
        <v>-17017.471799999996</v>
      </c>
      <c r="R19" s="112">
        <f>'Oyster Crop Budget'!R19</f>
        <v>-17070.596799999996</v>
      </c>
      <c r="S19" s="112">
        <f>'Oyster Crop Budget'!S19</f>
        <v>-17131.311085714286</v>
      </c>
      <c r="T19" s="112">
        <f>'Oyster Crop Budget'!T19</f>
        <v>-17201.36603076923</v>
      </c>
      <c r="U19" s="112">
        <f>'Oyster Crop Budget'!U19</f>
        <v>-17283.096799999996</v>
      </c>
      <c r="V19" s="112">
        <f>'Oyster Crop Budget'!V19</f>
        <v>-17379.687709090907</v>
      </c>
      <c r="W19" s="112">
        <f>'Oyster Crop Budget'!W19</f>
        <v>-17495.596799999996</v>
      </c>
      <c r="X19" s="112">
        <f>'Oyster Crop Budget'!X19</f>
        <v>-17637.263466666667</v>
      </c>
      <c r="Y19" s="112">
        <f>'Oyster Crop Budget'!Y19</f>
        <v>-17814.346799999996</v>
      </c>
      <c r="Z19" s="112">
        <f>'Oyster Crop Budget'!Z19</f>
        <v>-18042.025371428568</v>
      </c>
      <c r="AA19" s="112">
        <f>'Oyster Crop Budget'!AA19</f>
        <v>-18345.596799999996</v>
      </c>
      <c r="AB19" s="112">
        <f>'Oyster Crop Budget'!AB19</f>
        <v>-18770.596799999996</v>
      </c>
    </row>
    <row r="20" spans="14:28" x14ac:dyDescent="0.25">
      <c r="O20" s="110">
        <f>'Oyster Crop Budget'!O20</f>
        <v>0.6</v>
      </c>
      <c r="P20" s="126">
        <f>'Oyster Crop Budget'!P20</f>
        <v>-14470.596799999999</v>
      </c>
      <c r="Q20" s="126">
        <f>'Oyster Crop Budget'!Q20</f>
        <v>-14517.471799999999</v>
      </c>
      <c r="R20" s="126">
        <f>'Oyster Crop Budget'!R20</f>
        <v>-14570.596799999999</v>
      </c>
      <c r="S20" s="126">
        <f>'Oyster Crop Budget'!S20</f>
        <v>-14631.311085714289</v>
      </c>
      <c r="T20" s="126">
        <f>'Oyster Crop Budget'!T20</f>
        <v>-14701.366030769233</v>
      </c>
      <c r="U20" s="126">
        <f>'Oyster Crop Budget'!U20</f>
        <v>-14783.096799999999</v>
      </c>
      <c r="V20" s="126">
        <f>'Oyster Crop Budget'!V20</f>
        <v>-14879.687709090911</v>
      </c>
      <c r="W20" s="126">
        <f>'Oyster Crop Budget'!W20</f>
        <v>-14995.596799999999</v>
      </c>
      <c r="X20" s="126">
        <f>'Oyster Crop Budget'!X20</f>
        <v>-15137.263466666671</v>
      </c>
      <c r="Y20" s="126">
        <f>'Oyster Crop Budget'!Y20</f>
        <v>-15314.346799999999</v>
      </c>
      <c r="Z20" s="126">
        <f>'Oyster Crop Budget'!Z20</f>
        <v>-15542.025371428572</v>
      </c>
      <c r="AA20" s="112">
        <f>'Oyster Crop Budget'!AA20</f>
        <v>-15845.596799999999</v>
      </c>
      <c r="AB20" s="112">
        <f>'Oyster Crop Budget'!AB20</f>
        <v>-16270.596799999999</v>
      </c>
    </row>
    <row r="21" spans="14:28" x14ac:dyDescent="0.25">
      <c r="O21" s="110">
        <f>'Oyster Crop Budget'!O21</f>
        <v>0.65</v>
      </c>
      <c r="P21" s="126">
        <f>'Oyster Crop Budget'!P21</f>
        <v>-11970.596799999999</v>
      </c>
      <c r="Q21" s="126">
        <f>'Oyster Crop Budget'!Q21</f>
        <v>-12017.471799999999</v>
      </c>
      <c r="R21" s="126">
        <f>'Oyster Crop Budget'!R21</f>
        <v>-12070.596799999999</v>
      </c>
      <c r="S21" s="126">
        <f>'Oyster Crop Budget'!S21</f>
        <v>-12131.311085714289</v>
      </c>
      <c r="T21" s="126">
        <f>'Oyster Crop Budget'!T21</f>
        <v>-12201.366030769233</v>
      </c>
      <c r="U21" s="126">
        <f>'Oyster Crop Budget'!U21</f>
        <v>-12283.096799999999</v>
      </c>
      <c r="V21" s="126">
        <f>'Oyster Crop Budget'!V21</f>
        <v>-12379.687709090911</v>
      </c>
      <c r="W21" s="126">
        <f>'Oyster Crop Budget'!W21</f>
        <v>-12495.596799999999</v>
      </c>
      <c r="X21" s="126">
        <f>'Oyster Crop Budget'!X21</f>
        <v>-12637.263466666671</v>
      </c>
      <c r="Y21" s="126">
        <f>'Oyster Crop Budget'!Y21</f>
        <v>-12814.346799999999</v>
      </c>
      <c r="Z21" s="126">
        <f>'Oyster Crop Budget'!Z21</f>
        <v>-13042.025371428572</v>
      </c>
      <c r="AA21" s="112">
        <f>'Oyster Crop Budget'!AA21</f>
        <v>-13345.596799999999</v>
      </c>
      <c r="AB21" s="112">
        <f>'Oyster Crop Budget'!AB21</f>
        <v>-13770.596799999999</v>
      </c>
    </row>
    <row r="22" spans="14:28" x14ac:dyDescent="0.25">
      <c r="O22" s="110">
        <f>'Oyster Crop Budget'!O22</f>
        <v>0.7</v>
      </c>
      <c r="P22" s="112">
        <f>'Oyster Crop Budget'!P22</f>
        <v>-9470.5967999999993</v>
      </c>
      <c r="Q22" s="112">
        <f>'Oyster Crop Budget'!Q22</f>
        <v>-9517.4717999999993</v>
      </c>
      <c r="R22" s="112">
        <f>'Oyster Crop Budget'!R22</f>
        <v>-9570.5967999999993</v>
      </c>
      <c r="S22" s="112">
        <f>'Oyster Crop Budget'!S22</f>
        <v>-9631.3110857142892</v>
      </c>
      <c r="T22" s="112">
        <f>'Oyster Crop Budget'!T22</f>
        <v>-9701.3660307692335</v>
      </c>
      <c r="U22" s="112">
        <f>'Oyster Crop Budget'!U22</f>
        <v>-9783.0967999999993</v>
      </c>
      <c r="V22" s="112">
        <f>'Oyster Crop Budget'!V22</f>
        <v>-9879.6877090909111</v>
      </c>
      <c r="W22" s="112">
        <f>'Oyster Crop Budget'!W22</f>
        <v>-9995.5967999999993</v>
      </c>
      <c r="X22" s="112">
        <f>'Oyster Crop Budget'!X22</f>
        <v>-10137.263466666671</v>
      </c>
      <c r="Y22" s="112">
        <f>'Oyster Crop Budget'!Y22</f>
        <v>-10314.346799999999</v>
      </c>
      <c r="Z22" s="112">
        <f>'Oyster Crop Budget'!Z22</f>
        <v>-10542.025371428572</v>
      </c>
      <c r="AA22" s="112">
        <f>'Oyster Crop Budget'!AA22</f>
        <v>-10845.596799999999</v>
      </c>
      <c r="AB22" s="112">
        <f>'Oyster Crop Budget'!AB22</f>
        <v>-11270.596799999999</v>
      </c>
    </row>
    <row r="23" spans="14:28" x14ac:dyDescent="0.25">
      <c r="O23" s="110">
        <f>'Oyster Crop Budget'!O23</f>
        <v>0.75</v>
      </c>
      <c r="P23" s="112">
        <f>'Oyster Crop Budget'!P23</f>
        <v>-6970.5967999999993</v>
      </c>
      <c r="Q23" s="112">
        <f>'Oyster Crop Budget'!Q23</f>
        <v>-7017.4717999999993</v>
      </c>
      <c r="R23" s="112">
        <f>'Oyster Crop Budget'!R23</f>
        <v>-7070.5967999999993</v>
      </c>
      <c r="S23" s="112">
        <f>'Oyster Crop Budget'!S23</f>
        <v>-7131.3110857142892</v>
      </c>
      <c r="T23" s="112">
        <f>'Oyster Crop Budget'!T23</f>
        <v>-7201.3660307692335</v>
      </c>
      <c r="U23" s="112">
        <f>'Oyster Crop Budget'!U23</f>
        <v>-7283.0967999999993</v>
      </c>
      <c r="V23" s="112">
        <f>'Oyster Crop Budget'!V23</f>
        <v>-7379.6877090909111</v>
      </c>
      <c r="W23" s="112">
        <f>'Oyster Crop Budget'!W23</f>
        <v>-7495.5967999999993</v>
      </c>
      <c r="X23" s="112">
        <f>'Oyster Crop Budget'!X23</f>
        <v>-7637.2634666666709</v>
      </c>
      <c r="Y23" s="112">
        <f>'Oyster Crop Budget'!Y23</f>
        <v>-7814.3467999999993</v>
      </c>
      <c r="Z23" s="112">
        <f>'Oyster Crop Budget'!Z23</f>
        <v>-8042.0253714285718</v>
      </c>
      <c r="AA23" s="112">
        <f>'Oyster Crop Budget'!AA23</f>
        <v>-8345.5967999999993</v>
      </c>
      <c r="AB23" s="112">
        <f>'Oyster Crop Budget'!AB23</f>
        <v>-8770.5967999999993</v>
      </c>
    </row>
    <row r="24" spans="14:28" x14ac:dyDescent="0.25">
      <c r="O24" s="110">
        <f>'Oyster Crop Budget'!O24</f>
        <v>0.8</v>
      </c>
      <c r="P24" s="112">
        <f>'Oyster Crop Budget'!P24</f>
        <v>-4470.5967999999993</v>
      </c>
      <c r="Q24" s="112">
        <f>'Oyster Crop Budget'!Q24</f>
        <v>-4517.4717999999993</v>
      </c>
      <c r="R24" s="112">
        <f>'Oyster Crop Budget'!R24</f>
        <v>-4570.5967999999993</v>
      </c>
      <c r="S24" s="112">
        <f>'Oyster Crop Budget'!S24</f>
        <v>-4631.3110857142892</v>
      </c>
      <c r="T24" s="112">
        <f>'Oyster Crop Budget'!T24</f>
        <v>-4701.3660307692335</v>
      </c>
      <c r="U24" s="112">
        <f>'Oyster Crop Budget'!U24</f>
        <v>-4783.0967999999993</v>
      </c>
      <c r="V24" s="112">
        <f>'Oyster Crop Budget'!V24</f>
        <v>-4879.6877090909111</v>
      </c>
      <c r="W24" s="112">
        <f>'Oyster Crop Budget'!W24</f>
        <v>-4995.5967999999993</v>
      </c>
      <c r="X24" s="112">
        <f>'Oyster Crop Budget'!X24</f>
        <v>-5137.2634666666709</v>
      </c>
      <c r="Y24" s="112">
        <f>'Oyster Crop Budget'!Y24</f>
        <v>-5314.3467999999993</v>
      </c>
      <c r="Z24" s="112">
        <f>'Oyster Crop Budget'!Z24</f>
        <v>-5542.0253714285718</v>
      </c>
      <c r="AA24" s="112">
        <f>'Oyster Crop Budget'!AA24</f>
        <v>-5845.5967999999993</v>
      </c>
      <c r="AB24" s="112">
        <f>'Oyster Crop Budget'!AB24</f>
        <v>-6270.5967999999993</v>
      </c>
    </row>
    <row r="25" spans="14:28" x14ac:dyDescent="0.25">
      <c r="O25" s="110">
        <f>'Oyster Crop Budget'!O25</f>
        <v>0.85</v>
      </c>
      <c r="P25" s="112">
        <f>'Oyster Crop Budget'!P25</f>
        <v>-1970.5967999999993</v>
      </c>
      <c r="Q25" s="112">
        <f>'Oyster Crop Budget'!Q25</f>
        <v>-2017.4717999999993</v>
      </c>
      <c r="R25" s="112">
        <f>'Oyster Crop Budget'!R25</f>
        <v>-2070.5967999999993</v>
      </c>
      <c r="S25" s="112">
        <f>'Oyster Crop Budget'!S25</f>
        <v>-2131.3110857142892</v>
      </c>
      <c r="T25" s="112">
        <f>'Oyster Crop Budget'!T25</f>
        <v>-2201.3660307692335</v>
      </c>
      <c r="U25" s="112">
        <f>'Oyster Crop Budget'!U25</f>
        <v>-2283.0967999999993</v>
      </c>
      <c r="V25" s="112">
        <f>'Oyster Crop Budget'!V25</f>
        <v>-2379.6877090909111</v>
      </c>
      <c r="W25" s="112">
        <f>'Oyster Crop Budget'!W25</f>
        <v>-2495.5967999999993</v>
      </c>
      <c r="X25" s="112">
        <f>'Oyster Crop Budget'!X25</f>
        <v>-2637.2634666666709</v>
      </c>
      <c r="Y25" s="112">
        <f>'Oyster Crop Budget'!Y25</f>
        <v>-2814.3467999999993</v>
      </c>
      <c r="Z25" s="112">
        <f>'Oyster Crop Budget'!Z25</f>
        <v>-3042.0253714285718</v>
      </c>
      <c r="AA25" s="112">
        <f>'Oyster Crop Budget'!AA25</f>
        <v>-3345.5967999999993</v>
      </c>
      <c r="AB25" s="112">
        <f>'Oyster Crop Budget'!AB25</f>
        <v>-3770.5967999999993</v>
      </c>
    </row>
    <row r="26" spans="14:28" x14ac:dyDescent="0.25">
      <c r="O26" s="110">
        <f>'Oyster Crop Budget'!O26</f>
        <v>0.9</v>
      </c>
      <c r="P26" s="112">
        <f>'Oyster Crop Budget'!P26</f>
        <v>529.40320000000065</v>
      </c>
      <c r="Q26" s="112">
        <f>'Oyster Crop Budget'!Q26</f>
        <v>482.52820000000065</v>
      </c>
      <c r="R26" s="112">
        <f>'Oyster Crop Budget'!R26</f>
        <v>429.40320000000065</v>
      </c>
      <c r="S26" s="112">
        <f>'Oyster Crop Budget'!S26</f>
        <v>368.68891428571078</v>
      </c>
      <c r="T26" s="112">
        <f>'Oyster Crop Budget'!T26</f>
        <v>298.63396923076652</v>
      </c>
      <c r="U26" s="112">
        <f>'Oyster Crop Budget'!U26</f>
        <v>216.90320000000065</v>
      </c>
      <c r="V26" s="112">
        <f>'Oyster Crop Budget'!V26</f>
        <v>120.31229090908892</v>
      </c>
      <c r="W26" s="112">
        <f>'Oyster Crop Budget'!W26</f>
        <v>4.4032000000006519</v>
      </c>
      <c r="X26" s="112">
        <f>'Oyster Crop Budget'!X26</f>
        <v>-137.26346666667087</v>
      </c>
      <c r="Y26" s="112">
        <f>'Oyster Crop Budget'!Y26</f>
        <v>-314.34679999999935</v>
      </c>
      <c r="Z26" s="112">
        <f>'Oyster Crop Budget'!Z26</f>
        <v>-542.02537142857182</v>
      </c>
      <c r="AA26" s="112">
        <f>'Oyster Crop Budget'!AA26</f>
        <v>-845.59679999999935</v>
      </c>
      <c r="AB26" s="112">
        <f>'Oyster Crop Budget'!AB26</f>
        <v>-1270.5967999999993</v>
      </c>
    </row>
    <row r="27" spans="14:28" x14ac:dyDescent="0.25">
      <c r="O27" s="110">
        <f>'Oyster Crop Budget'!O27</f>
        <v>0.95</v>
      </c>
      <c r="P27" s="112">
        <f>'Oyster Crop Budget'!P27</f>
        <v>3029.4032000000007</v>
      </c>
      <c r="Q27" s="112">
        <f>'Oyster Crop Budget'!Q27</f>
        <v>2982.5282000000007</v>
      </c>
      <c r="R27" s="112">
        <f>'Oyster Crop Budget'!R27</f>
        <v>2929.4032000000007</v>
      </c>
      <c r="S27" s="112">
        <f>'Oyster Crop Budget'!S27</f>
        <v>2868.6889142857108</v>
      </c>
      <c r="T27" s="112">
        <f>'Oyster Crop Budget'!T27</f>
        <v>2798.6339692307665</v>
      </c>
      <c r="U27" s="112">
        <f>'Oyster Crop Budget'!U27</f>
        <v>2716.9032000000007</v>
      </c>
      <c r="V27" s="112">
        <f>'Oyster Crop Budget'!V27</f>
        <v>2620.3122909090889</v>
      </c>
      <c r="W27" s="112">
        <f>'Oyster Crop Budget'!W27</f>
        <v>2504.4032000000007</v>
      </c>
      <c r="X27" s="112">
        <f>'Oyster Crop Budget'!X27</f>
        <v>2362.7365333333291</v>
      </c>
      <c r="Y27" s="112">
        <f>'Oyster Crop Budget'!Y27</f>
        <v>2185.6532000000007</v>
      </c>
      <c r="Z27" s="112">
        <f>'Oyster Crop Budget'!Z27</f>
        <v>1957.9746285714282</v>
      </c>
      <c r="AA27" s="112">
        <f>'Oyster Crop Budget'!AA27</f>
        <v>1654.4032000000007</v>
      </c>
      <c r="AB27" s="112">
        <f>'Oyster Crop Budget'!AB27</f>
        <v>1229.4032000000007</v>
      </c>
    </row>
    <row r="28" spans="14:28" x14ac:dyDescent="0.25">
      <c r="O28" s="110">
        <f>'Oyster Crop Budget'!O28</f>
        <v>1</v>
      </c>
      <c r="P28" s="112">
        <f>'Oyster Crop Budget'!P28</f>
        <v>5529.4032000000007</v>
      </c>
      <c r="Q28" s="112">
        <f>'Oyster Crop Budget'!Q28</f>
        <v>5482.5282000000007</v>
      </c>
      <c r="R28" s="112">
        <f>'Oyster Crop Budget'!R28</f>
        <v>5429.4032000000007</v>
      </c>
      <c r="S28" s="112">
        <f>'Oyster Crop Budget'!S28</f>
        <v>5368.6889142857108</v>
      </c>
      <c r="T28" s="112">
        <f>'Oyster Crop Budget'!T28</f>
        <v>5298.6339692307665</v>
      </c>
      <c r="U28" s="112">
        <f>'Oyster Crop Budget'!U28</f>
        <v>5216.9032000000007</v>
      </c>
      <c r="V28" s="112">
        <f>'Oyster Crop Budget'!V28</f>
        <v>5120.3122909090889</v>
      </c>
      <c r="W28" s="112">
        <f>'Oyster Crop Budget'!W28</f>
        <v>5004.4032000000007</v>
      </c>
      <c r="X28" s="112">
        <f>'Oyster Crop Budget'!X28</f>
        <v>4862.7365333333291</v>
      </c>
      <c r="Y28" s="112">
        <f>'Oyster Crop Budget'!Y28</f>
        <v>4685.6532000000007</v>
      </c>
      <c r="Z28" s="112">
        <f>'Oyster Crop Budget'!Z28</f>
        <v>4457.9746285714282</v>
      </c>
      <c r="AA28" s="112">
        <f>'Oyster Crop Budget'!AA28</f>
        <v>4154.4032000000007</v>
      </c>
      <c r="AB28" s="112">
        <f>'Oyster Crop Budget'!AB28</f>
        <v>3729.4032000000007</v>
      </c>
    </row>
    <row r="29" spans="14:28" x14ac:dyDescent="0.25">
      <c r="O29" s="110"/>
      <c r="P29" s="24"/>
      <c r="Q29" s="24"/>
      <c r="R29" s="24"/>
      <c r="S29" s="24"/>
      <c r="T29" s="24"/>
      <c r="U29" s="24"/>
      <c r="V29" s="24"/>
      <c r="W29" s="24"/>
      <c r="X29" s="24"/>
      <c r="Y29" s="24"/>
      <c r="Z29" s="24"/>
      <c r="AA29" s="24"/>
      <c r="AB29" s="24"/>
    </row>
    <row r="31" spans="14:28" x14ac:dyDescent="0.25">
      <c r="N31" s="3" t="str">
        <f>'Oyster Crop Budget'!N31</f>
        <v xml:space="preserve">Year 2 </v>
      </c>
      <c r="O31" s="110">
        <f>'Oyster Crop Budget'!O31</f>
        <v>-3898.3467999999993</v>
      </c>
      <c r="P31" s="111">
        <f>'Oyster Crop Budget'!P31</f>
        <v>0.15</v>
      </c>
      <c r="Q31" s="111">
        <f>'Oyster Crop Budget'!Q31</f>
        <v>0.2</v>
      </c>
      <c r="R31" s="111">
        <f>'Oyster Crop Budget'!R31</f>
        <v>0.25</v>
      </c>
      <c r="S31" s="111">
        <f>'Oyster Crop Budget'!S31</f>
        <v>0.3</v>
      </c>
      <c r="T31" s="111">
        <f>'Oyster Crop Budget'!T31</f>
        <v>0.35</v>
      </c>
      <c r="U31" s="111">
        <f>'Oyster Crop Budget'!U31</f>
        <v>0.4</v>
      </c>
      <c r="V31" s="111">
        <f>'Oyster Crop Budget'!V31</f>
        <v>0.45</v>
      </c>
      <c r="W31" s="111">
        <f>'Oyster Crop Budget'!W31</f>
        <v>0.5</v>
      </c>
      <c r="X31" s="111">
        <f>'Oyster Crop Budget'!X31</f>
        <v>0.55000000000000004</v>
      </c>
      <c r="Y31" s="111">
        <f>'Oyster Crop Budget'!Y31</f>
        <v>0.6</v>
      </c>
      <c r="Z31" s="111">
        <f>'Oyster Crop Budget'!Z31</f>
        <v>0.65</v>
      </c>
      <c r="AA31" s="111">
        <f>'Oyster Crop Budget'!AA31</f>
        <v>0.7</v>
      </c>
      <c r="AB31" s="111">
        <f>'Oyster Crop Budget'!AB31</f>
        <v>0.75</v>
      </c>
    </row>
    <row r="32" spans="14:28" x14ac:dyDescent="0.25">
      <c r="O32" s="110">
        <f>'Oyster Crop Budget'!O32</f>
        <v>0.35</v>
      </c>
      <c r="P32" s="112">
        <f>'Oyster Crop Budget'!P32</f>
        <v>-8679.5967999999993</v>
      </c>
      <c r="Q32" s="112">
        <f>'Oyster Crop Budget'!Q32</f>
        <v>-8749.9092999999993</v>
      </c>
      <c r="R32" s="112">
        <f>'Oyster Crop Budget'!R32</f>
        <v>-8829.5967999999993</v>
      </c>
      <c r="S32" s="112">
        <f>'Oyster Crop Budget'!S32</f>
        <v>-8920.6682285714269</v>
      </c>
      <c r="T32" s="112">
        <f>'Oyster Crop Budget'!T32</f>
        <v>-9025.7506461538433</v>
      </c>
      <c r="U32" s="112">
        <f>'Oyster Crop Budget'!U32</f>
        <v>-9148.3467999999993</v>
      </c>
      <c r="V32" s="112">
        <f>'Oyster Crop Budget'!V32</f>
        <v>-9293.233163636367</v>
      </c>
      <c r="W32" s="112">
        <f>'Oyster Crop Budget'!W32</f>
        <v>-9467.0967999999993</v>
      </c>
      <c r="X32" s="112">
        <f>'Oyster Crop Budget'!X32</f>
        <v>-9679.5967999999993</v>
      </c>
      <c r="Y32" s="112">
        <f>'Oyster Crop Budget'!Y32</f>
        <v>-9945.2217999999993</v>
      </c>
      <c r="Z32" s="112">
        <f>'Oyster Crop Budget'!Z32</f>
        <v>-10286.739657142854</v>
      </c>
      <c r="AA32" s="112">
        <f>'Oyster Crop Budget'!AA32</f>
        <v>-10742.096799999999</v>
      </c>
      <c r="AB32" s="112">
        <f>'Oyster Crop Budget'!AB32</f>
        <v>-11379.596799999999</v>
      </c>
    </row>
    <row r="33" spans="14:28" x14ac:dyDescent="0.25">
      <c r="O33" s="110">
        <f>'Oyster Crop Budget'!O33</f>
        <v>0.4</v>
      </c>
      <c r="P33" s="112">
        <f>'Oyster Crop Budget'!P33</f>
        <v>-4929.5967999999993</v>
      </c>
      <c r="Q33" s="112">
        <f>'Oyster Crop Budget'!Q33</f>
        <v>-4999.9092999999993</v>
      </c>
      <c r="R33" s="112">
        <f>'Oyster Crop Budget'!R33</f>
        <v>-5079.5967999999993</v>
      </c>
      <c r="S33" s="112">
        <f>'Oyster Crop Budget'!S33</f>
        <v>-5170.6682285714269</v>
      </c>
      <c r="T33" s="112">
        <f>'Oyster Crop Budget'!T33</f>
        <v>-5275.7506461538433</v>
      </c>
      <c r="U33" s="112">
        <f>'Oyster Crop Budget'!U33</f>
        <v>-5398.3467999999993</v>
      </c>
      <c r="V33" s="112">
        <f>'Oyster Crop Budget'!V33</f>
        <v>-5543.233163636367</v>
      </c>
      <c r="W33" s="112">
        <f>'Oyster Crop Budget'!W33</f>
        <v>-5717.0967999999993</v>
      </c>
      <c r="X33" s="112">
        <f>'Oyster Crop Budget'!X33</f>
        <v>-5929.5967999999993</v>
      </c>
      <c r="Y33" s="112">
        <f>'Oyster Crop Budget'!Y33</f>
        <v>-6195.2217999999993</v>
      </c>
      <c r="Z33" s="112">
        <f>'Oyster Crop Budget'!Z33</f>
        <v>-6536.7396571428544</v>
      </c>
      <c r="AA33" s="112">
        <f>'Oyster Crop Budget'!AA33</f>
        <v>-6992.0967999999993</v>
      </c>
      <c r="AB33" s="112">
        <f>'Oyster Crop Budget'!AB33</f>
        <v>-7629.5967999999993</v>
      </c>
    </row>
    <row r="34" spans="14:28" x14ac:dyDescent="0.25">
      <c r="O34" s="110">
        <f>'Oyster Crop Budget'!O34</f>
        <v>0.45</v>
      </c>
      <c r="P34" s="112">
        <f>'Oyster Crop Budget'!P34</f>
        <v>-1179.5967999999993</v>
      </c>
      <c r="Q34" s="112">
        <f>'Oyster Crop Budget'!Q34</f>
        <v>-1249.9092999999993</v>
      </c>
      <c r="R34" s="112">
        <f>'Oyster Crop Budget'!R34</f>
        <v>-1329.5967999999993</v>
      </c>
      <c r="S34" s="112">
        <f>'Oyster Crop Budget'!S34</f>
        <v>-1420.6682285714269</v>
      </c>
      <c r="T34" s="112">
        <f>'Oyster Crop Budget'!T34</f>
        <v>-1525.7506461538433</v>
      </c>
      <c r="U34" s="112">
        <f>'Oyster Crop Budget'!U34</f>
        <v>-1648.3467999999993</v>
      </c>
      <c r="V34" s="112">
        <f>'Oyster Crop Budget'!V34</f>
        <v>-1793.233163636367</v>
      </c>
      <c r="W34" s="112">
        <f>'Oyster Crop Budget'!W34</f>
        <v>-1967.0967999999993</v>
      </c>
      <c r="X34" s="112">
        <f>'Oyster Crop Budget'!X34</f>
        <v>-2179.5967999999993</v>
      </c>
      <c r="Y34" s="112">
        <f>'Oyster Crop Budget'!Y34</f>
        <v>-2445.2217999999993</v>
      </c>
      <c r="Z34" s="112">
        <f>'Oyster Crop Budget'!Z34</f>
        <v>-2786.7396571428544</v>
      </c>
      <c r="AA34" s="112">
        <f>'Oyster Crop Budget'!AA34</f>
        <v>-3242.0967999999993</v>
      </c>
      <c r="AB34" s="112">
        <f>'Oyster Crop Budget'!AB34</f>
        <v>-3879.5967999999993</v>
      </c>
    </row>
    <row r="35" spans="14:28" x14ac:dyDescent="0.25">
      <c r="O35" s="110">
        <f>'Oyster Crop Budget'!O35</f>
        <v>0.5</v>
      </c>
      <c r="P35" s="112">
        <f>'Oyster Crop Budget'!P35</f>
        <v>2570.4032000000007</v>
      </c>
      <c r="Q35" s="112">
        <f>'Oyster Crop Budget'!Q35</f>
        <v>2500.0907000000007</v>
      </c>
      <c r="R35" s="112">
        <f>'Oyster Crop Budget'!R35</f>
        <v>2420.4032000000007</v>
      </c>
      <c r="S35" s="112">
        <f>'Oyster Crop Budget'!S35</f>
        <v>2329.3317714285731</v>
      </c>
      <c r="T35" s="112">
        <f>'Oyster Crop Budget'!T35</f>
        <v>2224.2493538461567</v>
      </c>
      <c r="U35" s="112">
        <f>'Oyster Crop Budget'!U35</f>
        <v>2101.6532000000007</v>
      </c>
      <c r="V35" s="112">
        <f>'Oyster Crop Budget'!V35</f>
        <v>1956.766836363633</v>
      </c>
      <c r="W35" s="112">
        <f>'Oyster Crop Budget'!W35</f>
        <v>1782.9032000000007</v>
      </c>
      <c r="X35" s="112">
        <f>'Oyster Crop Budget'!X35</f>
        <v>1570.4032000000007</v>
      </c>
      <c r="Y35" s="112">
        <f>'Oyster Crop Budget'!Y35</f>
        <v>1304.7782000000007</v>
      </c>
      <c r="Z35" s="112">
        <f>'Oyster Crop Budget'!Z35</f>
        <v>963.26034285714559</v>
      </c>
      <c r="AA35" s="112">
        <f>'Oyster Crop Budget'!AA35</f>
        <v>507.90320000000065</v>
      </c>
      <c r="AB35" s="112">
        <f>'Oyster Crop Budget'!AB35</f>
        <v>-129.59679999999935</v>
      </c>
    </row>
    <row r="36" spans="14:28" x14ac:dyDescent="0.25">
      <c r="O36" s="110">
        <f>'Oyster Crop Budget'!O36</f>
        <v>0.55000000000000004</v>
      </c>
      <c r="P36" s="112">
        <f>'Oyster Crop Budget'!P36</f>
        <v>6320.4032000000007</v>
      </c>
      <c r="Q36" s="112">
        <f>'Oyster Crop Budget'!Q36</f>
        <v>6250.0907000000007</v>
      </c>
      <c r="R36" s="112">
        <f>'Oyster Crop Budget'!R36</f>
        <v>6170.4032000000007</v>
      </c>
      <c r="S36" s="112">
        <f>'Oyster Crop Budget'!S36</f>
        <v>6079.3317714285731</v>
      </c>
      <c r="T36" s="112">
        <f>'Oyster Crop Budget'!T36</f>
        <v>5974.2493538461567</v>
      </c>
      <c r="U36" s="112">
        <f>'Oyster Crop Budget'!U36</f>
        <v>5851.6532000000007</v>
      </c>
      <c r="V36" s="112">
        <f>'Oyster Crop Budget'!V36</f>
        <v>5706.766836363633</v>
      </c>
      <c r="W36" s="112">
        <f>'Oyster Crop Budget'!W36</f>
        <v>5532.9032000000007</v>
      </c>
      <c r="X36" s="112">
        <f>'Oyster Crop Budget'!X36</f>
        <v>5320.4032000000007</v>
      </c>
      <c r="Y36" s="112">
        <f>'Oyster Crop Budget'!Y36</f>
        <v>5054.7782000000007</v>
      </c>
      <c r="Z36" s="112">
        <f>'Oyster Crop Budget'!Z36</f>
        <v>4713.2603428571456</v>
      </c>
      <c r="AA36" s="112">
        <f>'Oyster Crop Budget'!AA36</f>
        <v>4257.9032000000007</v>
      </c>
      <c r="AB36" s="112">
        <f>'Oyster Crop Budget'!AB36</f>
        <v>3620.4032000000007</v>
      </c>
    </row>
    <row r="37" spans="14:28" x14ac:dyDescent="0.25">
      <c r="O37" s="110">
        <f>'Oyster Crop Budget'!O37</f>
        <v>0.6</v>
      </c>
      <c r="P37" s="112">
        <f>'Oyster Crop Budget'!P37</f>
        <v>10070.403200000001</v>
      </c>
      <c r="Q37" s="112">
        <f>'Oyster Crop Budget'!Q37</f>
        <v>10000.090700000001</v>
      </c>
      <c r="R37" s="112">
        <f>'Oyster Crop Budget'!R37</f>
        <v>9920.4032000000007</v>
      </c>
      <c r="S37" s="112">
        <f>'Oyster Crop Budget'!S37</f>
        <v>9829.3317714285731</v>
      </c>
      <c r="T37" s="112">
        <f>'Oyster Crop Budget'!T37</f>
        <v>9724.2493538461567</v>
      </c>
      <c r="U37" s="112">
        <f>'Oyster Crop Budget'!U37</f>
        <v>9601.6532000000007</v>
      </c>
      <c r="V37" s="112">
        <f>'Oyster Crop Budget'!V37</f>
        <v>9456.766836363633</v>
      </c>
      <c r="W37" s="112">
        <f>'Oyster Crop Budget'!W37</f>
        <v>9282.9032000000007</v>
      </c>
      <c r="X37" s="112">
        <f>'Oyster Crop Budget'!X37</f>
        <v>9070.4032000000007</v>
      </c>
      <c r="Y37" s="112">
        <f>'Oyster Crop Budget'!Y37</f>
        <v>8804.7782000000007</v>
      </c>
      <c r="Z37" s="112">
        <f>'Oyster Crop Budget'!Z37</f>
        <v>8463.2603428571456</v>
      </c>
      <c r="AA37" s="112">
        <f>'Oyster Crop Budget'!AA37</f>
        <v>8007.9032000000007</v>
      </c>
      <c r="AB37" s="112">
        <f>'Oyster Crop Budget'!AB37</f>
        <v>7370.4032000000007</v>
      </c>
    </row>
    <row r="38" spans="14:28" x14ac:dyDescent="0.25">
      <c r="O38" s="110">
        <f>'Oyster Crop Budget'!O38</f>
        <v>0.65</v>
      </c>
      <c r="P38" s="112">
        <f>'Oyster Crop Budget'!P38</f>
        <v>13820.403200000001</v>
      </c>
      <c r="Q38" s="112">
        <f>'Oyster Crop Budget'!Q38</f>
        <v>13750.090700000001</v>
      </c>
      <c r="R38" s="112">
        <f>'Oyster Crop Budget'!R38</f>
        <v>13670.403200000001</v>
      </c>
      <c r="S38" s="112">
        <f>'Oyster Crop Budget'!S38</f>
        <v>13579.331771428573</v>
      </c>
      <c r="T38" s="112">
        <f>'Oyster Crop Budget'!T38</f>
        <v>13474.249353846157</v>
      </c>
      <c r="U38" s="112">
        <f>'Oyster Crop Budget'!U38</f>
        <v>13351.653200000001</v>
      </c>
      <c r="V38" s="112">
        <f>'Oyster Crop Budget'!V38</f>
        <v>13206.766836363633</v>
      </c>
      <c r="W38" s="112">
        <f>'Oyster Crop Budget'!W38</f>
        <v>13032.903200000001</v>
      </c>
      <c r="X38" s="112">
        <f>'Oyster Crop Budget'!X38</f>
        <v>12820.403200000001</v>
      </c>
      <c r="Y38" s="112">
        <f>'Oyster Crop Budget'!Y38</f>
        <v>12554.778200000001</v>
      </c>
      <c r="Z38" s="112">
        <f>'Oyster Crop Budget'!Z38</f>
        <v>12213.260342857146</v>
      </c>
      <c r="AA38" s="112">
        <f>'Oyster Crop Budget'!AA38</f>
        <v>11757.903200000001</v>
      </c>
      <c r="AB38" s="112">
        <f>'Oyster Crop Budget'!AB38</f>
        <v>11120.403200000001</v>
      </c>
    </row>
    <row r="39" spans="14:28" x14ac:dyDescent="0.25">
      <c r="O39" s="110">
        <f>'Oyster Crop Budget'!O39</f>
        <v>0.7</v>
      </c>
      <c r="P39" s="112">
        <f>'Oyster Crop Budget'!P39</f>
        <v>17570.403200000001</v>
      </c>
      <c r="Q39" s="112">
        <f>'Oyster Crop Budget'!Q39</f>
        <v>17500.090700000001</v>
      </c>
      <c r="R39" s="112">
        <f>'Oyster Crop Budget'!R39</f>
        <v>17420.403200000001</v>
      </c>
      <c r="S39" s="112">
        <f>'Oyster Crop Budget'!S39</f>
        <v>17329.331771428573</v>
      </c>
      <c r="T39" s="112">
        <f>'Oyster Crop Budget'!T39</f>
        <v>17224.249353846157</v>
      </c>
      <c r="U39" s="112">
        <f>'Oyster Crop Budget'!U39</f>
        <v>17101.653200000001</v>
      </c>
      <c r="V39" s="112">
        <f>'Oyster Crop Budget'!V39</f>
        <v>16956.766836363633</v>
      </c>
      <c r="W39" s="112">
        <f>'Oyster Crop Budget'!W39</f>
        <v>16782.903200000001</v>
      </c>
      <c r="X39" s="112">
        <f>'Oyster Crop Budget'!X39</f>
        <v>16570.403200000001</v>
      </c>
      <c r="Y39" s="112">
        <f>'Oyster Crop Budget'!Y39</f>
        <v>16304.778200000001</v>
      </c>
      <c r="Z39" s="112">
        <f>'Oyster Crop Budget'!Z39</f>
        <v>15963.260342857146</v>
      </c>
      <c r="AA39" s="112">
        <f>'Oyster Crop Budget'!AA39</f>
        <v>15507.903200000001</v>
      </c>
      <c r="AB39" s="112">
        <f>'Oyster Crop Budget'!AB39</f>
        <v>14870.403200000001</v>
      </c>
    </row>
    <row r="40" spans="14:28" x14ac:dyDescent="0.25">
      <c r="O40" s="110">
        <f>'Oyster Crop Budget'!O40</f>
        <v>0.75</v>
      </c>
      <c r="P40" s="112">
        <f>'Oyster Crop Budget'!P40</f>
        <v>21320.403200000001</v>
      </c>
      <c r="Q40" s="112">
        <f>'Oyster Crop Budget'!Q40</f>
        <v>21250.090700000001</v>
      </c>
      <c r="R40" s="112">
        <f>'Oyster Crop Budget'!R40</f>
        <v>21170.403200000001</v>
      </c>
      <c r="S40" s="112">
        <f>'Oyster Crop Budget'!S40</f>
        <v>21079.331771428573</v>
      </c>
      <c r="T40" s="112">
        <f>'Oyster Crop Budget'!T40</f>
        <v>20974.249353846157</v>
      </c>
      <c r="U40" s="112">
        <f>'Oyster Crop Budget'!U40</f>
        <v>20851.653200000001</v>
      </c>
      <c r="V40" s="112">
        <f>'Oyster Crop Budget'!V40</f>
        <v>20706.766836363633</v>
      </c>
      <c r="W40" s="112">
        <f>'Oyster Crop Budget'!W40</f>
        <v>20532.903200000001</v>
      </c>
      <c r="X40" s="112">
        <f>'Oyster Crop Budget'!X40</f>
        <v>20320.403200000001</v>
      </c>
      <c r="Y40" s="112">
        <f>'Oyster Crop Budget'!Y40</f>
        <v>20054.778200000001</v>
      </c>
      <c r="Z40" s="112">
        <f>'Oyster Crop Budget'!Z40</f>
        <v>19713.260342857146</v>
      </c>
      <c r="AA40" s="112">
        <f>'Oyster Crop Budget'!AA40</f>
        <v>19257.903200000001</v>
      </c>
      <c r="AB40" s="112">
        <f>'Oyster Crop Budget'!AB40</f>
        <v>18620.403200000001</v>
      </c>
    </row>
    <row r="41" spans="14:28" x14ac:dyDescent="0.25">
      <c r="O41" s="110">
        <f>'Oyster Crop Budget'!O41</f>
        <v>0.8</v>
      </c>
      <c r="P41" s="112">
        <f>'Oyster Crop Budget'!P41</f>
        <v>25070.403200000001</v>
      </c>
      <c r="Q41" s="112">
        <f>'Oyster Crop Budget'!Q41</f>
        <v>25000.090700000001</v>
      </c>
      <c r="R41" s="112">
        <f>'Oyster Crop Budget'!R41</f>
        <v>24920.403200000001</v>
      </c>
      <c r="S41" s="112">
        <f>'Oyster Crop Budget'!S41</f>
        <v>24829.331771428573</v>
      </c>
      <c r="T41" s="112">
        <f>'Oyster Crop Budget'!T41</f>
        <v>24724.249353846157</v>
      </c>
      <c r="U41" s="112">
        <f>'Oyster Crop Budget'!U41</f>
        <v>24601.653200000001</v>
      </c>
      <c r="V41" s="112">
        <f>'Oyster Crop Budget'!V41</f>
        <v>24456.766836363633</v>
      </c>
      <c r="W41" s="112">
        <f>'Oyster Crop Budget'!W41</f>
        <v>24282.903200000001</v>
      </c>
      <c r="X41" s="112">
        <f>'Oyster Crop Budget'!X41</f>
        <v>24070.403200000001</v>
      </c>
      <c r="Y41" s="112">
        <f>'Oyster Crop Budget'!Y41</f>
        <v>23804.778200000001</v>
      </c>
      <c r="Z41" s="112">
        <f>'Oyster Crop Budget'!Z41</f>
        <v>23463.260342857146</v>
      </c>
      <c r="AA41" s="112">
        <f>'Oyster Crop Budget'!AA41</f>
        <v>23007.903200000001</v>
      </c>
      <c r="AB41" s="112">
        <f>'Oyster Crop Budget'!AB41</f>
        <v>22370.403200000001</v>
      </c>
    </row>
    <row r="42" spans="14:28" x14ac:dyDescent="0.25">
      <c r="O42" s="110">
        <f>'Oyster Crop Budget'!O42</f>
        <v>0.85</v>
      </c>
      <c r="P42" s="21">
        <f>'Oyster Crop Budget'!P42</f>
        <v>28820.403200000001</v>
      </c>
      <c r="Q42" s="21">
        <f>'Oyster Crop Budget'!Q42</f>
        <v>28750.090700000001</v>
      </c>
      <c r="R42" s="112">
        <f>'Oyster Crop Budget'!R42</f>
        <v>28670.403200000001</v>
      </c>
      <c r="S42" s="112">
        <f>'Oyster Crop Budget'!S42</f>
        <v>28579.331771428573</v>
      </c>
      <c r="T42" s="112">
        <f>'Oyster Crop Budget'!T42</f>
        <v>28474.249353846157</v>
      </c>
      <c r="U42" s="112">
        <f>'Oyster Crop Budget'!U42</f>
        <v>28351.653200000001</v>
      </c>
      <c r="V42" s="112">
        <f>'Oyster Crop Budget'!V42</f>
        <v>28206.766836363633</v>
      </c>
      <c r="W42" s="112">
        <f>'Oyster Crop Budget'!W42</f>
        <v>28032.903200000001</v>
      </c>
      <c r="X42" s="112">
        <f>'Oyster Crop Budget'!X42</f>
        <v>27820.403200000001</v>
      </c>
      <c r="Y42" s="112">
        <f>'Oyster Crop Budget'!Y42</f>
        <v>27554.778200000001</v>
      </c>
      <c r="Z42" s="112">
        <f>'Oyster Crop Budget'!Z42</f>
        <v>27213.260342857146</v>
      </c>
      <c r="AA42" s="112">
        <f>'Oyster Crop Budget'!AA42</f>
        <v>26757.903200000001</v>
      </c>
      <c r="AB42" s="112">
        <f>'Oyster Crop Budget'!AB42</f>
        <v>26120.403200000001</v>
      </c>
    </row>
    <row r="43" spans="14:28" x14ac:dyDescent="0.25">
      <c r="O43" s="110">
        <f>'Oyster Crop Budget'!O43</f>
        <v>0.9</v>
      </c>
      <c r="P43" s="21">
        <f>'Oyster Crop Budget'!P43</f>
        <v>32570.403200000001</v>
      </c>
      <c r="Q43" s="21">
        <f>'Oyster Crop Budget'!Q43</f>
        <v>32500.090700000001</v>
      </c>
      <c r="R43" s="21">
        <f>'Oyster Crop Budget'!R43</f>
        <v>32420.403200000001</v>
      </c>
      <c r="S43" s="21">
        <f>'Oyster Crop Budget'!S43</f>
        <v>32329.331771428573</v>
      </c>
      <c r="T43" s="21">
        <f>'Oyster Crop Budget'!T43</f>
        <v>32224.249353846157</v>
      </c>
      <c r="U43" s="21">
        <f>'Oyster Crop Budget'!U43</f>
        <v>32101.653200000001</v>
      </c>
      <c r="V43" s="21">
        <f>'Oyster Crop Budget'!V43</f>
        <v>31956.766836363633</v>
      </c>
      <c r="W43" s="21">
        <f>'Oyster Crop Budget'!W43</f>
        <v>31782.903200000001</v>
      </c>
      <c r="X43" s="21">
        <f>'Oyster Crop Budget'!X43</f>
        <v>31570.403200000001</v>
      </c>
      <c r="Y43" s="21">
        <f>'Oyster Crop Budget'!Y43</f>
        <v>31304.778200000001</v>
      </c>
      <c r="Z43" s="21">
        <f>'Oyster Crop Budget'!Z43</f>
        <v>30963.260342857146</v>
      </c>
      <c r="AA43" s="21">
        <f>'Oyster Crop Budget'!AA43</f>
        <v>30507.903200000001</v>
      </c>
      <c r="AB43" s="21">
        <f>'Oyster Crop Budget'!AB43</f>
        <v>29870.403200000001</v>
      </c>
    </row>
    <row r="44" spans="14:28" x14ac:dyDescent="0.25">
      <c r="O44" s="110">
        <f>'Oyster Crop Budget'!O44</f>
        <v>0.95</v>
      </c>
      <c r="P44" s="21">
        <f>'Oyster Crop Budget'!P44</f>
        <v>36320.403200000001</v>
      </c>
      <c r="Q44" s="21">
        <f>'Oyster Crop Budget'!Q44</f>
        <v>36250.090700000001</v>
      </c>
      <c r="R44" s="21">
        <f>'Oyster Crop Budget'!R44</f>
        <v>36170.403200000001</v>
      </c>
      <c r="S44" s="21">
        <f>'Oyster Crop Budget'!S44</f>
        <v>36079.331771428573</v>
      </c>
      <c r="T44" s="21">
        <f>'Oyster Crop Budget'!T44</f>
        <v>35974.249353846157</v>
      </c>
      <c r="U44" s="21">
        <f>'Oyster Crop Budget'!U44</f>
        <v>35851.653200000001</v>
      </c>
      <c r="V44" s="21">
        <f>'Oyster Crop Budget'!V44</f>
        <v>35706.766836363633</v>
      </c>
      <c r="W44" s="21">
        <f>'Oyster Crop Budget'!W44</f>
        <v>35532.903200000001</v>
      </c>
      <c r="X44" s="21">
        <f>'Oyster Crop Budget'!X44</f>
        <v>35320.403200000001</v>
      </c>
      <c r="Y44" s="21">
        <f>'Oyster Crop Budget'!Y44</f>
        <v>35054.778200000001</v>
      </c>
      <c r="Z44" s="21">
        <f>'Oyster Crop Budget'!Z44</f>
        <v>34713.260342857146</v>
      </c>
      <c r="AA44" s="21">
        <f>'Oyster Crop Budget'!AA44</f>
        <v>34257.903200000001</v>
      </c>
      <c r="AB44" s="21">
        <f>'Oyster Crop Budget'!AB44</f>
        <v>33620.403200000001</v>
      </c>
    </row>
    <row r="45" spans="14:28" x14ac:dyDescent="0.25">
      <c r="O45" s="110">
        <f>'Oyster Crop Budget'!O45</f>
        <v>1</v>
      </c>
      <c r="P45" s="21">
        <f>'Oyster Crop Budget'!P45</f>
        <v>40070.403200000001</v>
      </c>
      <c r="Q45" s="21">
        <f>'Oyster Crop Budget'!Q45</f>
        <v>40000.090700000001</v>
      </c>
      <c r="R45" s="21">
        <f>'Oyster Crop Budget'!R45</f>
        <v>39920.403200000001</v>
      </c>
      <c r="S45" s="21">
        <f>'Oyster Crop Budget'!S45</f>
        <v>39829.331771428573</v>
      </c>
      <c r="T45" s="21">
        <f>'Oyster Crop Budget'!T45</f>
        <v>39724.249353846157</v>
      </c>
      <c r="U45" s="21">
        <f>'Oyster Crop Budget'!U45</f>
        <v>39601.653200000001</v>
      </c>
      <c r="V45" s="21">
        <f>'Oyster Crop Budget'!V45</f>
        <v>39456.766836363633</v>
      </c>
      <c r="W45" s="21">
        <f>'Oyster Crop Budget'!W45</f>
        <v>39282.903200000001</v>
      </c>
      <c r="X45" s="21">
        <f>'Oyster Crop Budget'!X45</f>
        <v>39070.403200000001</v>
      </c>
      <c r="Y45" s="21">
        <f>'Oyster Crop Budget'!Y45</f>
        <v>38804.778200000001</v>
      </c>
      <c r="Z45" s="21">
        <f>'Oyster Crop Budget'!Z45</f>
        <v>38463.260342857146</v>
      </c>
      <c r="AA45" s="21">
        <f>'Oyster Crop Budget'!AA45</f>
        <v>38007.903200000001</v>
      </c>
      <c r="AB45" s="21">
        <f>'Oyster Crop Budget'!AB45</f>
        <v>37370.403200000001</v>
      </c>
    </row>
    <row r="47" spans="14:28" x14ac:dyDescent="0.25">
      <c r="N47" s="3" t="str">
        <f>'Oyster Crop Budget'!N47</f>
        <v>Year 3</v>
      </c>
      <c r="O47" s="110">
        <f>'Oyster Crop Budget'!O47</f>
        <v>5635.4032000000007</v>
      </c>
      <c r="P47" s="111">
        <f>'Oyster Crop Budget'!P47</f>
        <v>0.15</v>
      </c>
      <c r="Q47" s="111">
        <f>'Oyster Crop Budget'!Q47</f>
        <v>0.2</v>
      </c>
      <c r="R47" s="111">
        <f>'Oyster Crop Budget'!R47</f>
        <v>0.25</v>
      </c>
      <c r="S47" s="111">
        <f>'Oyster Crop Budget'!S47</f>
        <v>0.3</v>
      </c>
      <c r="T47" s="111">
        <f>'Oyster Crop Budget'!T47</f>
        <v>0.35</v>
      </c>
      <c r="U47" s="111">
        <f>'Oyster Crop Budget'!U47</f>
        <v>0.4</v>
      </c>
      <c r="V47" s="111">
        <f>'Oyster Crop Budget'!V47</f>
        <v>0.45</v>
      </c>
      <c r="W47" s="111">
        <f>'Oyster Crop Budget'!W47</f>
        <v>0.5</v>
      </c>
      <c r="X47" s="111">
        <f>'Oyster Crop Budget'!X47</f>
        <v>0.55000000000000004</v>
      </c>
      <c r="Y47" s="111">
        <f>'Oyster Crop Budget'!Y47</f>
        <v>0.6</v>
      </c>
      <c r="Z47" s="111">
        <f>'Oyster Crop Budget'!Z47</f>
        <v>0.65</v>
      </c>
      <c r="AA47" s="111">
        <f>'Oyster Crop Budget'!AA47</f>
        <v>0.7</v>
      </c>
      <c r="AB47" s="111">
        <f>'Oyster Crop Budget'!AB47</f>
        <v>0.75</v>
      </c>
    </row>
    <row r="48" spans="14:28" x14ac:dyDescent="0.25">
      <c r="O48" s="24">
        <f>'Oyster Crop Budget'!O48</f>
        <v>0.35</v>
      </c>
      <c r="P48" s="112">
        <f>'Oyster Crop Budget'!P48</f>
        <v>-739.59679999999935</v>
      </c>
      <c r="Q48" s="112">
        <f>'Oyster Crop Budget'!Q48</f>
        <v>-833.34679999999935</v>
      </c>
      <c r="R48" s="112">
        <f>'Oyster Crop Budget'!R48</f>
        <v>-939.59679999999935</v>
      </c>
      <c r="S48" s="112">
        <f>'Oyster Crop Budget'!S48</f>
        <v>-1061.0253714285718</v>
      </c>
      <c r="T48" s="112">
        <f>'Oyster Crop Budget'!T48</f>
        <v>-1201.1352615384603</v>
      </c>
      <c r="U48" s="112">
        <f>'Oyster Crop Budget'!U48</f>
        <v>-1364.5967999999993</v>
      </c>
      <c r="V48" s="112">
        <f>'Oyster Crop Budget'!V48</f>
        <v>-1557.7786181818228</v>
      </c>
      <c r="W48" s="112">
        <f>'Oyster Crop Budget'!W48</f>
        <v>-1789.5967999999993</v>
      </c>
      <c r="X48" s="112">
        <f>'Oyster Crop Budget'!X48</f>
        <v>-2072.9301333333351</v>
      </c>
      <c r="Y48" s="112">
        <f>'Oyster Crop Budget'!Y48</f>
        <v>-2427.0967999999993</v>
      </c>
      <c r="Z48" s="112">
        <f>'Oyster Crop Budget'!Z48</f>
        <v>-2882.4539428571443</v>
      </c>
      <c r="AA48" s="112">
        <f>'Oyster Crop Budget'!AA48</f>
        <v>-3489.5967999999993</v>
      </c>
      <c r="AB48" s="112">
        <f>'Oyster Crop Budget'!AB48</f>
        <v>-4339.5967999999993</v>
      </c>
    </row>
    <row r="49" spans="14:28" x14ac:dyDescent="0.25">
      <c r="O49" s="24">
        <f>'Oyster Crop Budget'!O49</f>
        <v>0.4</v>
      </c>
      <c r="P49" s="112">
        <f>'Oyster Crop Budget'!P49</f>
        <v>4260.4032000000007</v>
      </c>
      <c r="Q49" s="112">
        <f>'Oyster Crop Budget'!Q49</f>
        <v>4166.6532000000007</v>
      </c>
      <c r="R49" s="112">
        <f>'Oyster Crop Budget'!R49</f>
        <v>4060.4032000000007</v>
      </c>
      <c r="S49" s="112">
        <f>'Oyster Crop Budget'!S49</f>
        <v>3938.9746285714282</v>
      </c>
      <c r="T49" s="112">
        <f>'Oyster Crop Budget'!T49</f>
        <v>3798.8647384615397</v>
      </c>
      <c r="U49" s="112">
        <f>'Oyster Crop Budget'!U49</f>
        <v>3635.4032000000007</v>
      </c>
      <c r="V49" s="112">
        <f>'Oyster Crop Budget'!V49</f>
        <v>3442.2213818181772</v>
      </c>
      <c r="W49" s="112">
        <f>'Oyster Crop Budget'!W49</f>
        <v>3210.4032000000007</v>
      </c>
      <c r="X49" s="112">
        <f>'Oyster Crop Budget'!X49</f>
        <v>2927.0698666666649</v>
      </c>
      <c r="Y49" s="112">
        <f>'Oyster Crop Budget'!Y49</f>
        <v>2572.9032000000007</v>
      </c>
      <c r="Z49" s="112">
        <f>'Oyster Crop Budget'!Z49</f>
        <v>2117.5460571428557</v>
      </c>
      <c r="AA49" s="112">
        <f>'Oyster Crop Budget'!AA49</f>
        <v>1510.4032000000007</v>
      </c>
      <c r="AB49" s="112">
        <f>'Oyster Crop Budget'!AB49</f>
        <v>660.40320000000065</v>
      </c>
    </row>
    <row r="50" spans="14:28" x14ac:dyDescent="0.25">
      <c r="O50" s="24">
        <f>'Oyster Crop Budget'!O50</f>
        <v>0.45</v>
      </c>
      <c r="P50" s="112">
        <f>'Oyster Crop Budget'!P50</f>
        <v>9260.4032000000007</v>
      </c>
      <c r="Q50" s="112">
        <f>'Oyster Crop Budget'!Q50</f>
        <v>9166.6532000000007</v>
      </c>
      <c r="R50" s="112">
        <f>'Oyster Crop Budget'!R50</f>
        <v>9060.4032000000007</v>
      </c>
      <c r="S50" s="112">
        <f>'Oyster Crop Budget'!S50</f>
        <v>8938.9746285714282</v>
      </c>
      <c r="T50" s="112">
        <f>'Oyster Crop Budget'!T50</f>
        <v>8798.8647384615397</v>
      </c>
      <c r="U50" s="112">
        <f>'Oyster Crop Budget'!U50</f>
        <v>8635.4032000000007</v>
      </c>
      <c r="V50" s="112">
        <f>'Oyster Crop Budget'!V50</f>
        <v>8442.2213818181772</v>
      </c>
      <c r="W50" s="112">
        <f>'Oyster Crop Budget'!W50</f>
        <v>8210.4032000000007</v>
      </c>
      <c r="X50" s="112">
        <f>'Oyster Crop Budget'!X50</f>
        <v>7927.0698666666649</v>
      </c>
      <c r="Y50" s="112">
        <f>'Oyster Crop Budget'!Y50</f>
        <v>7572.9032000000007</v>
      </c>
      <c r="Z50" s="112">
        <f>'Oyster Crop Budget'!Z50</f>
        <v>7117.5460571428557</v>
      </c>
      <c r="AA50" s="112">
        <f>'Oyster Crop Budget'!AA50</f>
        <v>6510.4032000000007</v>
      </c>
      <c r="AB50" s="112">
        <f>'Oyster Crop Budget'!AB50</f>
        <v>5660.4032000000007</v>
      </c>
    </row>
    <row r="51" spans="14:28" x14ac:dyDescent="0.25">
      <c r="O51" s="24">
        <f>'Oyster Crop Budget'!O51</f>
        <v>0.5</v>
      </c>
      <c r="P51" s="112">
        <f>'Oyster Crop Budget'!P51</f>
        <v>14260.403200000001</v>
      </c>
      <c r="Q51" s="112">
        <f>'Oyster Crop Budget'!Q51</f>
        <v>14166.653200000001</v>
      </c>
      <c r="R51" s="112">
        <f>'Oyster Crop Budget'!R51</f>
        <v>14060.403200000001</v>
      </c>
      <c r="S51" s="112">
        <f>'Oyster Crop Budget'!S51</f>
        <v>13938.974628571428</v>
      </c>
      <c r="T51" s="112">
        <f>'Oyster Crop Budget'!T51</f>
        <v>13798.86473846154</v>
      </c>
      <c r="U51" s="112">
        <f>'Oyster Crop Budget'!U51</f>
        <v>13635.403200000001</v>
      </c>
      <c r="V51" s="112">
        <f>'Oyster Crop Budget'!V51</f>
        <v>13442.221381818177</v>
      </c>
      <c r="W51" s="112">
        <f>'Oyster Crop Budget'!W51</f>
        <v>13210.403200000001</v>
      </c>
      <c r="X51" s="112">
        <f>'Oyster Crop Budget'!X51</f>
        <v>12927.069866666665</v>
      </c>
      <c r="Y51" s="112">
        <f>'Oyster Crop Budget'!Y51</f>
        <v>12572.903200000001</v>
      </c>
      <c r="Z51" s="112">
        <f>'Oyster Crop Budget'!Z51</f>
        <v>12117.546057142856</v>
      </c>
      <c r="AA51" s="112">
        <f>'Oyster Crop Budget'!AA51</f>
        <v>11510.403200000001</v>
      </c>
      <c r="AB51" s="112">
        <f>'Oyster Crop Budget'!AB51</f>
        <v>10660.403200000001</v>
      </c>
    </row>
    <row r="52" spans="14:28" x14ac:dyDescent="0.25">
      <c r="O52" s="24">
        <f>'Oyster Crop Budget'!O52</f>
        <v>0.55000000000000004</v>
      </c>
      <c r="P52" s="112">
        <f>'Oyster Crop Budget'!P52</f>
        <v>19260.403200000008</v>
      </c>
      <c r="Q52" s="112">
        <f>'Oyster Crop Budget'!Q52</f>
        <v>19166.653200000008</v>
      </c>
      <c r="R52" s="112">
        <f>'Oyster Crop Budget'!R52</f>
        <v>19060.403200000008</v>
      </c>
      <c r="S52" s="112">
        <f>'Oyster Crop Budget'!S52</f>
        <v>18938.974628571435</v>
      </c>
      <c r="T52" s="112">
        <f>'Oyster Crop Budget'!T52</f>
        <v>18798.864738461547</v>
      </c>
      <c r="U52" s="112">
        <f>'Oyster Crop Budget'!U52</f>
        <v>18635.403200000008</v>
      </c>
      <c r="V52" s="112">
        <f>'Oyster Crop Budget'!V52</f>
        <v>18442.221381818184</v>
      </c>
      <c r="W52" s="112">
        <f>'Oyster Crop Budget'!W52</f>
        <v>18210.403200000008</v>
      </c>
      <c r="X52" s="112">
        <f>'Oyster Crop Budget'!X52</f>
        <v>17927.069866666672</v>
      </c>
      <c r="Y52" s="112">
        <f>'Oyster Crop Budget'!Y52</f>
        <v>17572.903200000008</v>
      </c>
      <c r="Z52" s="112">
        <f>'Oyster Crop Budget'!Z52</f>
        <v>17117.546057142863</v>
      </c>
      <c r="AA52" s="112">
        <f>'Oyster Crop Budget'!AA52</f>
        <v>16510.403200000008</v>
      </c>
      <c r="AB52" s="112">
        <f>'Oyster Crop Budget'!AB52</f>
        <v>15660.403200000008</v>
      </c>
    </row>
    <row r="53" spans="14:28" x14ac:dyDescent="0.25">
      <c r="O53" s="24">
        <f>'Oyster Crop Budget'!O53</f>
        <v>0.6</v>
      </c>
      <c r="P53" s="112">
        <f>'Oyster Crop Budget'!P53</f>
        <v>24260.403200000001</v>
      </c>
      <c r="Q53" s="112">
        <f>'Oyster Crop Budget'!Q53</f>
        <v>24166.653200000001</v>
      </c>
      <c r="R53" s="112">
        <f>'Oyster Crop Budget'!R53</f>
        <v>24060.403200000001</v>
      </c>
      <c r="S53" s="112">
        <f>'Oyster Crop Budget'!S53</f>
        <v>23938.974628571428</v>
      </c>
      <c r="T53" s="112">
        <f>'Oyster Crop Budget'!T53</f>
        <v>23798.86473846154</v>
      </c>
      <c r="U53" s="112">
        <f>'Oyster Crop Budget'!U53</f>
        <v>23635.403200000001</v>
      </c>
      <c r="V53" s="112">
        <f>'Oyster Crop Budget'!V53</f>
        <v>23442.221381818177</v>
      </c>
      <c r="W53" s="112">
        <f>'Oyster Crop Budget'!W53</f>
        <v>23210.403200000001</v>
      </c>
      <c r="X53" s="112">
        <f>'Oyster Crop Budget'!X53</f>
        <v>22927.069866666665</v>
      </c>
      <c r="Y53" s="112">
        <f>'Oyster Crop Budget'!Y53</f>
        <v>22572.903200000001</v>
      </c>
      <c r="Z53" s="112">
        <f>'Oyster Crop Budget'!Z53</f>
        <v>22117.546057142856</v>
      </c>
      <c r="AA53" s="112">
        <f>'Oyster Crop Budget'!AA53</f>
        <v>21510.403200000001</v>
      </c>
      <c r="AB53" s="112">
        <f>'Oyster Crop Budget'!AB53</f>
        <v>20660.403200000001</v>
      </c>
    </row>
    <row r="54" spans="14:28" x14ac:dyDescent="0.25">
      <c r="O54" s="24">
        <f>'Oyster Crop Budget'!O54</f>
        <v>0.65</v>
      </c>
      <c r="P54" s="21">
        <f>'Oyster Crop Budget'!P54</f>
        <v>29260.403200000001</v>
      </c>
      <c r="Q54" s="21">
        <f>'Oyster Crop Budget'!Q54</f>
        <v>29166.653200000001</v>
      </c>
      <c r="R54" s="21">
        <f>'Oyster Crop Budget'!R54</f>
        <v>29060.403200000001</v>
      </c>
      <c r="S54" s="112">
        <f>'Oyster Crop Budget'!S54</f>
        <v>28938.974628571428</v>
      </c>
      <c r="T54" s="112">
        <f>'Oyster Crop Budget'!T54</f>
        <v>28798.86473846154</v>
      </c>
      <c r="U54" s="112">
        <f>'Oyster Crop Budget'!U54</f>
        <v>28635.403200000001</v>
      </c>
      <c r="V54" s="112">
        <f>'Oyster Crop Budget'!V54</f>
        <v>28442.221381818177</v>
      </c>
      <c r="W54" s="112">
        <f>'Oyster Crop Budget'!W54</f>
        <v>28210.403200000001</v>
      </c>
      <c r="X54" s="112">
        <f>'Oyster Crop Budget'!X54</f>
        <v>27927.069866666665</v>
      </c>
      <c r="Y54" s="112">
        <f>'Oyster Crop Budget'!Y54</f>
        <v>27572.903200000001</v>
      </c>
      <c r="Z54" s="112">
        <f>'Oyster Crop Budget'!Z54</f>
        <v>27117.546057142856</v>
      </c>
      <c r="AA54" s="112">
        <f>'Oyster Crop Budget'!AA54</f>
        <v>26510.403200000001</v>
      </c>
      <c r="AB54" s="112">
        <f>'Oyster Crop Budget'!AB54</f>
        <v>25660.403200000001</v>
      </c>
    </row>
    <row r="55" spans="14:28" x14ac:dyDescent="0.25">
      <c r="O55" s="24">
        <f>'Oyster Crop Budget'!O55</f>
        <v>0.7</v>
      </c>
      <c r="P55" s="21">
        <f>'Oyster Crop Budget'!P55</f>
        <v>34260.403200000001</v>
      </c>
      <c r="Q55" s="21">
        <f>'Oyster Crop Budget'!Q55</f>
        <v>34166.653200000001</v>
      </c>
      <c r="R55" s="21">
        <f>'Oyster Crop Budget'!R55</f>
        <v>34060.403200000001</v>
      </c>
      <c r="S55" s="21">
        <f>'Oyster Crop Budget'!S55</f>
        <v>33938.974628571428</v>
      </c>
      <c r="T55" s="21">
        <f>'Oyster Crop Budget'!T55</f>
        <v>33798.86473846154</v>
      </c>
      <c r="U55" s="21">
        <f>'Oyster Crop Budget'!U55</f>
        <v>33635.403200000001</v>
      </c>
      <c r="V55" s="21">
        <f>'Oyster Crop Budget'!V55</f>
        <v>33442.221381818177</v>
      </c>
      <c r="W55" s="21">
        <f>'Oyster Crop Budget'!W55</f>
        <v>33210.403200000001</v>
      </c>
      <c r="X55" s="21">
        <f>'Oyster Crop Budget'!X55</f>
        <v>32927.069866666665</v>
      </c>
      <c r="Y55" s="21">
        <f>'Oyster Crop Budget'!Y55</f>
        <v>32572.903200000001</v>
      </c>
      <c r="Z55" s="21">
        <f>'Oyster Crop Budget'!Z55</f>
        <v>32117.546057142856</v>
      </c>
      <c r="AA55" s="21">
        <f>'Oyster Crop Budget'!AA55</f>
        <v>31510.403200000001</v>
      </c>
      <c r="AB55" s="21">
        <f>'Oyster Crop Budget'!AB55</f>
        <v>30660.403200000001</v>
      </c>
    </row>
    <row r="56" spans="14:28" x14ac:dyDescent="0.25">
      <c r="O56" s="24">
        <f>'Oyster Crop Budget'!O56</f>
        <v>0.75</v>
      </c>
      <c r="P56" s="21">
        <f>'Oyster Crop Budget'!P56</f>
        <v>39260.403200000001</v>
      </c>
      <c r="Q56" s="21">
        <f>'Oyster Crop Budget'!Q56</f>
        <v>39166.653200000001</v>
      </c>
      <c r="R56" s="21">
        <f>'Oyster Crop Budget'!R56</f>
        <v>39060.403200000001</v>
      </c>
      <c r="S56" s="21">
        <f>'Oyster Crop Budget'!S56</f>
        <v>38938.974628571428</v>
      </c>
      <c r="T56" s="21">
        <f>'Oyster Crop Budget'!T56</f>
        <v>38798.86473846154</v>
      </c>
      <c r="U56" s="21">
        <f>'Oyster Crop Budget'!U56</f>
        <v>38635.403200000001</v>
      </c>
      <c r="V56" s="21">
        <f>'Oyster Crop Budget'!V56</f>
        <v>38442.221381818177</v>
      </c>
      <c r="W56" s="21">
        <f>'Oyster Crop Budget'!W56</f>
        <v>38210.403200000001</v>
      </c>
      <c r="X56" s="21">
        <f>'Oyster Crop Budget'!X56</f>
        <v>37927.069866666665</v>
      </c>
      <c r="Y56" s="21">
        <f>'Oyster Crop Budget'!Y56</f>
        <v>37572.903200000001</v>
      </c>
      <c r="Z56" s="21">
        <f>'Oyster Crop Budget'!Z56</f>
        <v>37117.546057142856</v>
      </c>
      <c r="AA56" s="21">
        <f>'Oyster Crop Budget'!AA56</f>
        <v>36510.403200000001</v>
      </c>
      <c r="AB56" s="21">
        <f>'Oyster Crop Budget'!AB56</f>
        <v>35660.403200000001</v>
      </c>
    </row>
    <row r="57" spans="14:28" x14ac:dyDescent="0.25">
      <c r="O57" s="24">
        <f>'Oyster Crop Budget'!O57</f>
        <v>0.8</v>
      </c>
      <c r="P57" s="21">
        <f>'Oyster Crop Budget'!P57</f>
        <v>44260.403200000001</v>
      </c>
      <c r="Q57" s="21">
        <f>'Oyster Crop Budget'!Q57</f>
        <v>44166.653200000001</v>
      </c>
      <c r="R57" s="21">
        <f>'Oyster Crop Budget'!R57</f>
        <v>44060.403200000001</v>
      </c>
      <c r="S57" s="21">
        <f>'Oyster Crop Budget'!S57</f>
        <v>43938.974628571428</v>
      </c>
      <c r="T57" s="21">
        <f>'Oyster Crop Budget'!T57</f>
        <v>43798.86473846154</v>
      </c>
      <c r="U57" s="21">
        <f>'Oyster Crop Budget'!U57</f>
        <v>43635.403200000001</v>
      </c>
      <c r="V57" s="21">
        <f>'Oyster Crop Budget'!V57</f>
        <v>43442.221381818177</v>
      </c>
      <c r="W57" s="21">
        <f>'Oyster Crop Budget'!W57</f>
        <v>43210.403200000001</v>
      </c>
      <c r="X57" s="21">
        <f>'Oyster Crop Budget'!X57</f>
        <v>42927.069866666665</v>
      </c>
      <c r="Y57" s="21">
        <f>'Oyster Crop Budget'!Y57</f>
        <v>42572.903200000001</v>
      </c>
      <c r="Z57" s="21">
        <f>'Oyster Crop Budget'!Z57</f>
        <v>42117.546057142856</v>
      </c>
      <c r="AA57" s="21">
        <f>'Oyster Crop Budget'!AA57</f>
        <v>41510.403200000001</v>
      </c>
      <c r="AB57" s="21">
        <f>'Oyster Crop Budget'!AB57</f>
        <v>40660.403200000001</v>
      </c>
    </row>
    <row r="58" spans="14:28" x14ac:dyDescent="0.25">
      <c r="O58" s="24">
        <f>'Oyster Crop Budget'!O58</f>
        <v>0.85</v>
      </c>
      <c r="P58" s="21">
        <f>'Oyster Crop Budget'!P58</f>
        <v>49260.403200000001</v>
      </c>
      <c r="Q58" s="21">
        <f>'Oyster Crop Budget'!Q58</f>
        <v>49166.653200000001</v>
      </c>
      <c r="R58" s="21">
        <f>'Oyster Crop Budget'!R58</f>
        <v>49060.403200000001</v>
      </c>
      <c r="S58" s="21">
        <f>'Oyster Crop Budget'!S58</f>
        <v>48938.974628571428</v>
      </c>
      <c r="T58" s="21">
        <f>'Oyster Crop Budget'!T58</f>
        <v>48798.86473846154</v>
      </c>
      <c r="U58" s="21">
        <f>'Oyster Crop Budget'!U58</f>
        <v>48635.403200000001</v>
      </c>
      <c r="V58" s="21">
        <f>'Oyster Crop Budget'!V58</f>
        <v>48442.221381818177</v>
      </c>
      <c r="W58" s="21">
        <f>'Oyster Crop Budget'!W58</f>
        <v>48210.403200000001</v>
      </c>
      <c r="X58" s="21">
        <f>'Oyster Crop Budget'!X58</f>
        <v>47927.069866666665</v>
      </c>
      <c r="Y58" s="21">
        <f>'Oyster Crop Budget'!Y58</f>
        <v>47572.903200000001</v>
      </c>
      <c r="Z58" s="21">
        <f>'Oyster Crop Budget'!Z58</f>
        <v>47117.546057142856</v>
      </c>
      <c r="AA58" s="21">
        <f>'Oyster Crop Budget'!AA58</f>
        <v>46510.403200000001</v>
      </c>
      <c r="AB58" s="21">
        <f>'Oyster Crop Budget'!AB58</f>
        <v>45660.403200000001</v>
      </c>
    </row>
    <row r="59" spans="14:28" x14ac:dyDescent="0.25">
      <c r="O59" s="24">
        <f>'Oyster Crop Budget'!O59</f>
        <v>0.9</v>
      </c>
      <c r="P59" s="21">
        <f>'Oyster Crop Budget'!P59</f>
        <v>54260.403200000001</v>
      </c>
      <c r="Q59" s="21">
        <f>'Oyster Crop Budget'!Q59</f>
        <v>54166.653200000001</v>
      </c>
      <c r="R59" s="21">
        <f>'Oyster Crop Budget'!R59</f>
        <v>54060.403200000001</v>
      </c>
      <c r="S59" s="21">
        <f>'Oyster Crop Budget'!S59</f>
        <v>53938.974628571428</v>
      </c>
      <c r="T59" s="21">
        <f>'Oyster Crop Budget'!T59</f>
        <v>53798.86473846154</v>
      </c>
      <c r="U59" s="21">
        <f>'Oyster Crop Budget'!U59</f>
        <v>53635.403200000001</v>
      </c>
      <c r="V59" s="21">
        <f>'Oyster Crop Budget'!V59</f>
        <v>53442.221381818177</v>
      </c>
      <c r="W59" s="21">
        <f>'Oyster Crop Budget'!W59</f>
        <v>53210.403200000001</v>
      </c>
      <c r="X59" s="21">
        <f>'Oyster Crop Budget'!X59</f>
        <v>52927.069866666665</v>
      </c>
      <c r="Y59" s="21">
        <f>'Oyster Crop Budget'!Y59</f>
        <v>52572.903200000001</v>
      </c>
      <c r="Z59" s="21">
        <f>'Oyster Crop Budget'!Z59</f>
        <v>52117.546057142856</v>
      </c>
      <c r="AA59" s="21">
        <f>'Oyster Crop Budget'!AA59</f>
        <v>51510.403200000001</v>
      </c>
      <c r="AB59" s="21">
        <f>'Oyster Crop Budget'!AB59</f>
        <v>50660.403200000001</v>
      </c>
    </row>
    <row r="60" spans="14:28" x14ac:dyDescent="0.25">
      <c r="O60" s="24">
        <f>'Oyster Crop Budget'!O60</f>
        <v>0.95</v>
      </c>
      <c r="P60" s="21">
        <f>'Oyster Crop Budget'!P60</f>
        <v>59260.403200000001</v>
      </c>
      <c r="Q60" s="21">
        <f>'Oyster Crop Budget'!Q60</f>
        <v>59166.653200000001</v>
      </c>
      <c r="R60" s="21">
        <f>'Oyster Crop Budget'!R60</f>
        <v>59060.403200000001</v>
      </c>
      <c r="S60" s="21">
        <f>'Oyster Crop Budget'!S60</f>
        <v>58938.974628571428</v>
      </c>
      <c r="T60" s="21">
        <f>'Oyster Crop Budget'!T60</f>
        <v>58798.86473846154</v>
      </c>
      <c r="U60" s="21">
        <f>'Oyster Crop Budget'!U60</f>
        <v>58635.403200000001</v>
      </c>
      <c r="V60" s="21">
        <f>'Oyster Crop Budget'!V60</f>
        <v>58442.221381818177</v>
      </c>
      <c r="W60" s="21">
        <f>'Oyster Crop Budget'!W60</f>
        <v>58210.403200000001</v>
      </c>
      <c r="X60" s="21">
        <f>'Oyster Crop Budget'!X60</f>
        <v>57927.069866666665</v>
      </c>
      <c r="Y60" s="21">
        <f>'Oyster Crop Budget'!Y60</f>
        <v>57572.903200000001</v>
      </c>
      <c r="Z60" s="21">
        <f>'Oyster Crop Budget'!Z60</f>
        <v>57117.546057142856</v>
      </c>
      <c r="AA60" s="21">
        <f>'Oyster Crop Budget'!AA60</f>
        <v>56510.403200000001</v>
      </c>
      <c r="AB60" s="21">
        <f>'Oyster Crop Budget'!AB60</f>
        <v>55660.403200000001</v>
      </c>
    </row>
    <row r="61" spans="14:28" x14ac:dyDescent="0.25">
      <c r="O61" s="24">
        <f>'Oyster Crop Budget'!O61</f>
        <v>1</v>
      </c>
      <c r="P61" s="21">
        <f>'Oyster Crop Budget'!P61</f>
        <v>64260.403200000001</v>
      </c>
      <c r="Q61" s="21">
        <f>'Oyster Crop Budget'!Q61</f>
        <v>64166.653200000001</v>
      </c>
      <c r="R61" s="21">
        <f>'Oyster Crop Budget'!R61</f>
        <v>64060.403200000001</v>
      </c>
      <c r="S61" s="21">
        <f>'Oyster Crop Budget'!S61</f>
        <v>63938.974628571428</v>
      </c>
      <c r="T61" s="21">
        <f>'Oyster Crop Budget'!T61</f>
        <v>63798.86473846154</v>
      </c>
      <c r="U61" s="21">
        <f>'Oyster Crop Budget'!U61</f>
        <v>63635.403200000001</v>
      </c>
      <c r="V61" s="21">
        <f>'Oyster Crop Budget'!V61</f>
        <v>63442.221381818177</v>
      </c>
      <c r="W61" s="21">
        <f>'Oyster Crop Budget'!W61</f>
        <v>63210.403200000001</v>
      </c>
      <c r="X61" s="21">
        <f>'Oyster Crop Budget'!X61</f>
        <v>62927.069866666665</v>
      </c>
      <c r="Y61" s="21">
        <f>'Oyster Crop Budget'!Y61</f>
        <v>62572.903200000001</v>
      </c>
      <c r="Z61" s="21">
        <f>'Oyster Crop Budget'!Z61</f>
        <v>62117.546057142856</v>
      </c>
      <c r="AA61" s="21">
        <f>'Oyster Crop Budget'!AA61</f>
        <v>61510.403200000001</v>
      </c>
      <c r="AB61" s="21">
        <f>'Oyster Crop Budget'!AB61</f>
        <v>60660.403200000001</v>
      </c>
    </row>
    <row r="64" spans="14:28" x14ac:dyDescent="0.25">
      <c r="N64" s="3" t="str">
        <f>'Oyster Crop Budget'!N64</f>
        <v>Year 4</v>
      </c>
      <c r="O64" s="110">
        <f>'Oyster Crop Budget'!O64</f>
        <v>-4598.7796000000017</v>
      </c>
      <c r="P64" s="111">
        <f>'Oyster Crop Budget'!P64</f>
        <v>0.15</v>
      </c>
      <c r="Q64" s="111">
        <f>'Oyster Crop Budget'!Q64</f>
        <v>0.2</v>
      </c>
      <c r="R64" s="111">
        <f>'Oyster Crop Budget'!R64</f>
        <v>0.25</v>
      </c>
      <c r="S64" s="111">
        <f>'Oyster Crop Budget'!S64</f>
        <v>0.3</v>
      </c>
      <c r="T64" s="111">
        <f>'Oyster Crop Budget'!T64</f>
        <v>0.35</v>
      </c>
      <c r="U64" s="111">
        <f>'Oyster Crop Budget'!U64</f>
        <v>0.4</v>
      </c>
      <c r="V64" s="111">
        <f>'Oyster Crop Budget'!V64</f>
        <v>0.45</v>
      </c>
      <c r="W64" s="111">
        <f>'Oyster Crop Budget'!W64</f>
        <v>0.5</v>
      </c>
      <c r="X64" s="111">
        <f>'Oyster Crop Budget'!X64</f>
        <v>0.55000000000000004</v>
      </c>
      <c r="Y64" s="111">
        <f>'Oyster Crop Budget'!Y64</f>
        <v>0.6</v>
      </c>
      <c r="Z64" s="111">
        <f>'Oyster Crop Budget'!Z64</f>
        <v>0.65</v>
      </c>
      <c r="AA64" s="111">
        <f>'Oyster Crop Budget'!AA64</f>
        <v>0.7</v>
      </c>
      <c r="AB64" s="111">
        <f>'Oyster Crop Budget'!AB64</f>
        <v>0.75</v>
      </c>
    </row>
    <row r="65" spans="15:28" x14ac:dyDescent="0.25">
      <c r="O65" s="110">
        <f>'Oyster Crop Budget'!O65</f>
        <v>0.35</v>
      </c>
      <c r="P65" s="112">
        <f>'Oyster Crop Budget'!P65</f>
        <v>-12567.529600000002</v>
      </c>
      <c r="Q65" s="112">
        <f>'Oyster Crop Budget'!Q65</f>
        <v>-12684.717100000002</v>
      </c>
      <c r="R65" s="112">
        <f>'Oyster Crop Budget'!R65</f>
        <v>-12817.529600000002</v>
      </c>
      <c r="S65" s="112">
        <f>'Oyster Crop Budget'!S65</f>
        <v>-12969.315314285712</v>
      </c>
      <c r="T65" s="112">
        <f>'Oyster Crop Budget'!T65</f>
        <v>-13144.45267692308</v>
      </c>
      <c r="U65" s="112">
        <f>'Oyster Crop Budget'!U65</f>
        <v>-13348.779600000002</v>
      </c>
      <c r="V65" s="112">
        <f>'Oyster Crop Budget'!V65</f>
        <v>-13590.256872727274</v>
      </c>
      <c r="W65" s="112">
        <f>'Oyster Crop Budget'!W65</f>
        <v>-13880.029600000002</v>
      </c>
      <c r="X65" s="112">
        <f>'Oyster Crop Budget'!X65</f>
        <v>-14234.196266666666</v>
      </c>
      <c r="Y65" s="112">
        <f>'Oyster Crop Budget'!Y65</f>
        <v>-14676.904600000002</v>
      </c>
      <c r="Z65" s="112">
        <f>'Oyster Crop Budget'!Z65</f>
        <v>-15246.101028571429</v>
      </c>
      <c r="AA65" s="112">
        <f>'Oyster Crop Budget'!AA65</f>
        <v>-16005.029600000002</v>
      </c>
      <c r="AB65" s="112">
        <f>'Oyster Crop Budget'!AB65</f>
        <v>-17067.529600000002</v>
      </c>
    </row>
    <row r="66" spans="15:28" x14ac:dyDescent="0.25">
      <c r="O66" s="110">
        <f>'Oyster Crop Budget'!O66</f>
        <v>0.4</v>
      </c>
      <c r="P66" s="112">
        <f>'Oyster Crop Budget'!P66</f>
        <v>-6317.5296000000017</v>
      </c>
      <c r="Q66" s="112">
        <f>'Oyster Crop Budget'!Q66</f>
        <v>-6434.7171000000017</v>
      </c>
      <c r="R66" s="112">
        <f>'Oyster Crop Budget'!R66</f>
        <v>-6567.5296000000017</v>
      </c>
      <c r="S66" s="112">
        <f>'Oyster Crop Budget'!S66</f>
        <v>-6719.3153142857118</v>
      </c>
      <c r="T66" s="112">
        <f>'Oyster Crop Budget'!T66</f>
        <v>-6894.4526769230797</v>
      </c>
      <c r="U66" s="112">
        <f>'Oyster Crop Budget'!U66</f>
        <v>-7098.7796000000017</v>
      </c>
      <c r="V66" s="112">
        <f>'Oyster Crop Budget'!V66</f>
        <v>-7340.2568727272737</v>
      </c>
      <c r="W66" s="112">
        <f>'Oyster Crop Budget'!W66</f>
        <v>-7630.0296000000017</v>
      </c>
      <c r="X66" s="112">
        <f>'Oyster Crop Budget'!X66</f>
        <v>-7984.1962666666659</v>
      </c>
      <c r="Y66" s="112">
        <f>'Oyster Crop Budget'!Y66</f>
        <v>-8426.9046000000017</v>
      </c>
      <c r="Z66" s="112">
        <f>'Oyster Crop Budget'!Z66</f>
        <v>-8996.1010285714292</v>
      </c>
      <c r="AA66" s="112">
        <f>'Oyster Crop Budget'!AA66</f>
        <v>-9755.0296000000017</v>
      </c>
      <c r="AB66" s="112">
        <f>'Oyster Crop Budget'!AB66</f>
        <v>-10817.529600000002</v>
      </c>
    </row>
    <row r="67" spans="15:28" x14ac:dyDescent="0.25">
      <c r="O67" s="110">
        <f>'Oyster Crop Budget'!O67</f>
        <v>0.45</v>
      </c>
      <c r="P67" s="112">
        <f>'Oyster Crop Budget'!P67</f>
        <v>-67.529600000001665</v>
      </c>
      <c r="Q67" s="112">
        <f>'Oyster Crop Budget'!Q67</f>
        <v>-184.71710000000166</v>
      </c>
      <c r="R67" s="112">
        <f>'Oyster Crop Budget'!R67</f>
        <v>-317.52960000000166</v>
      </c>
      <c r="S67" s="112">
        <f>'Oyster Crop Budget'!S67</f>
        <v>-469.31531428571179</v>
      </c>
      <c r="T67" s="112">
        <f>'Oyster Crop Budget'!T67</f>
        <v>-644.45267692307971</v>
      </c>
      <c r="U67" s="112">
        <f>'Oyster Crop Budget'!U67</f>
        <v>-848.77960000000166</v>
      </c>
      <c r="V67" s="112">
        <f>'Oyster Crop Budget'!V67</f>
        <v>-1090.2568727272737</v>
      </c>
      <c r="W67" s="112">
        <f>'Oyster Crop Budget'!W67</f>
        <v>-1380.0296000000017</v>
      </c>
      <c r="X67" s="112">
        <f>'Oyster Crop Budget'!X67</f>
        <v>-1734.1962666666659</v>
      </c>
      <c r="Y67" s="112">
        <f>'Oyster Crop Budget'!Y67</f>
        <v>-2176.9046000000017</v>
      </c>
      <c r="Z67" s="112">
        <f>'Oyster Crop Budget'!Z67</f>
        <v>-2746.1010285714292</v>
      </c>
      <c r="AA67" s="112">
        <f>'Oyster Crop Budget'!AA67</f>
        <v>-3505.0296000000017</v>
      </c>
      <c r="AB67" s="112">
        <f>'Oyster Crop Budget'!AB67</f>
        <v>-4567.5296000000017</v>
      </c>
    </row>
    <row r="68" spans="15:28" x14ac:dyDescent="0.25">
      <c r="O68" s="110">
        <f>'Oyster Crop Budget'!O68</f>
        <v>0.5</v>
      </c>
      <c r="P68" s="112">
        <f>'Oyster Crop Budget'!P68</f>
        <v>6182.4703999999983</v>
      </c>
      <c r="Q68" s="112">
        <f>'Oyster Crop Budget'!Q68</f>
        <v>6065.2828999999983</v>
      </c>
      <c r="R68" s="112">
        <f>'Oyster Crop Budget'!R68</f>
        <v>5932.4703999999983</v>
      </c>
      <c r="S68" s="112">
        <f>'Oyster Crop Budget'!S68</f>
        <v>5780.6846857142882</v>
      </c>
      <c r="T68" s="112">
        <f>'Oyster Crop Budget'!T68</f>
        <v>5605.5473230769203</v>
      </c>
      <c r="U68" s="112">
        <f>'Oyster Crop Budget'!U68</f>
        <v>5401.2203999999983</v>
      </c>
      <c r="V68" s="112">
        <f>'Oyster Crop Budget'!V68</f>
        <v>5159.7431272727263</v>
      </c>
      <c r="W68" s="112">
        <f>'Oyster Crop Budget'!W68</f>
        <v>4869.9703999999983</v>
      </c>
      <c r="X68" s="112">
        <f>'Oyster Crop Budget'!X68</f>
        <v>4515.8037333333341</v>
      </c>
      <c r="Y68" s="112">
        <f>'Oyster Crop Budget'!Y68</f>
        <v>4073.0953999999983</v>
      </c>
      <c r="Z68" s="112">
        <f>'Oyster Crop Budget'!Z68</f>
        <v>3503.8989714285708</v>
      </c>
      <c r="AA68" s="112">
        <f>'Oyster Crop Budget'!AA68</f>
        <v>2744.9703999999983</v>
      </c>
      <c r="AB68" s="112">
        <f>'Oyster Crop Budget'!AB68</f>
        <v>1682.4703999999983</v>
      </c>
    </row>
    <row r="69" spans="15:28" x14ac:dyDescent="0.25">
      <c r="O69" s="110">
        <f>'Oyster Crop Budget'!O69</f>
        <v>0.55000000000000004</v>
      </c>
      <c r="P69" s="21">
        <f>'Oyster Crop Budget'!P69</f>
        <v>12432.470399999998</v>
      </c>
      <c r="Q69" s="21">
        <f>'Oyster Crop Budget'!Q69</f>
        <v>12315.282899999998</v>
      </c>
      <c r="R69" s="21">
        <f>'Oyster Crop Budget'!R69</f>
        <v>12182.470399999998</v>
      </c>
      <c r="S69" s="21">
        <f>'Oyster Crop Budget'!S69</f>
        <v>12030.684685714288</v>
      </c>
      <c r="T69" s="21">
        <f>'Oyster Crop Budget'!T69</f>
        <v>11855.54732307692</v>
      </c>
      <c r="U69" s="21">
        <f>'Oyster Crop Budget'!U69</f>
        <v>11651.220399999998</v>
      </c>
      <c r="V69" s="21">
        <f>'Oyster Crop Budget'!V69</f>
        <v>11409.743127272726</v>
      </c>
      <c r="W69" s="21">
        <f>'Oyster Crop Budget'!W69</f>
        <v>11119.970399999998</v>
      </c>
      <c r="X69" s="21">
        <f>'Oyster Crop Budget'!X69</f>
        <v>10765.803733333334</v>
      </c>
      <c r="Y69" s="21">
        <f>'Oyster Crop Budget'!Y69</f>
        <v>10323.095399999998</v>
      </c>
      <c r="Z69" s="21">
        <f>'Oyster Crop Budget'!Z69</f>
        <v>9753.8989714285708</v>
      </c>
      <c r="AA69" s="21">
        <f>'Oyster Crop Budget'!AA69</f>
        <v>8994.9703999999983</v>
      </c>
      <c r="AB69" s="112">
        <f>'Oyster Crop Budget'!AB69</f>
        <v>7932.4703999999983</v>
      </c>
    </row>
    <row r="70" spans="15:28" x14ac:dyDescent="0.25">
      <c r="O70" s="110">
        <f>'Oyster Crop Budget'!O70</f>
        <v>0.6</v>
      </c>
      <c r="P70" s="21">
        <f>'Oyster Crop Budget'!P70</f>
        <v>18682.470399999998</v>
      </c>
      <c r="Q70" s="21">
        <f>'Oyster Crop Budget'!Q70</f>
        <v>18565.282899999998</v>
      </c>
      <c r="R70" s="21">
        <f>'Oyster Crop Budget'!R70</f>
        <v>18432.470399999998</v>
      </c>
      <c r="S70" s="21">
        <f>'Oyster Crop Budget'!S70</f>
        <v>18280.684685714288</v>
      </c>
      <c r="T70" s="21">
        <f>'Oyster Crop Budget'!T70</f>
        <v>18105.54732307692</v>
      </c>
      <c r="U70" s="21">
        <f>'Oyster Crop Budget'!U70</f>
        <v>17901.220399999998</v>
      </c>
      <c r="V70" s="21">
        <f>'Oyster Crop Budget'!V70</f>
        <v>17659.743127272726</v>
      </c>
      <c r="W70" s="21">
        <f>'Oyster Crop Budget'!W70</f>
        <v>17369.970399999998</v>
      </c>
      <c r="X70" s="21">
        <f>'Oyster Crop Budget'!X70</f>
        <v>17015.803733333334</v>
      </c>
      <c r="Y70" s="21">
        <f>'Oyster Crop Budget'!Y70</f>
        <v>16573.095399999998</v>
      </c>
      <c r="Z70" s="21">
        <f>'Oyster Crop Budget'!Z70</f>
        <v>16003.898971428571</v>
      </c>
      <c r="AA70" s="21">
        <f>'Oyster Crop Budget'!AA70</f>
        <v>15244.970399999998</v>
      </c>
      <c r="AB70" s="21">
        <f>'Oyster Crop Budget'!AB70</f>
        <v>14182.470399999998</v>
      </c>
    </row>
    <row r="71" spans="15:28" x14ac:dyDescent="0.25">
      <c r="O71" s="110">
        <f>'Oyster Crop Budget'!O71</f>
        <v>0.65</v>
      </c>
      <c r="P71" s="21">
        <f>'Oyster Crop Budget'!P71</f>
        <v>24932.470399999998</v>
      </c>
      <c r="Q71" s="21">
        <f>'Oyster Crop Budget'!Q71</f>
        <v>24815.282899999998</v>
      </c>
      <c r="R71" s="21">
        <f>'Oyster Crop Budget'!R71</f>
        <v>24682.470399999998</v>
      </c>
      <c r="S71" s="21">
        <f>'Oyster Crop Budget'!S71</f>
        <v>24530.684685714288</v>
      </c>
      <c r="T71" s="21">
        <f>'Oyster Crop Budget'!T71</f>
        <v>24355.54732307692</v>
      </c>
      <c r="U71" s="21">
        <f>'Oyster Crop Budget'!U71</f>
        <v>24151.220399999998</v>
      </c>
      <c r="V71" s="21">
        <f>'Oyster Crop Budget'!V71</f>
        <v>23909.743127272726</v>
      </c>
      <c r="W71" s="21">
        <f>'Oyster Crop Budget'!W71</f>
        <v>23619.970399999998</v>
      </c>
      <c r="X71" s="21">
        <f>'Oyster Crop Budget'!X71</f>
        <v>23265.803733333334</v>
      </c>
      <c r="Y71" s="21">
        <f>'Oyster Crop Budget'!Y71</f>
        <v>22823.095399999998</v>
      </c>
      <c r="Z71" s="21">
        <f>'Oyster Crop Budget'!Z71</f>
        <v>22253.898971428571</v>
      </c>
      <c r="AA71" s="21">
        <f>'Oyster Crop Budget'!AA71</f>
        <v>21494.970399999998</v>
      </c>
      <c r="AB71" s="21">
        <f>'Oyster Crop Budget'!AB71</f>
        <v>20432.470399999998</v>
      </c>
    </row>
    <row r="72" spans="15:28" x14ac:dyDescent="0.25">
      <c r="O72" s="110">
        <f>'Oyster Crop Budget'!O72</f>
        <v>0.7</v>
      </c>
      <c r="P72" s="21">
        <f>'Oyster Crop Budget'!P72</f>
        <v>31182.470399999998</v>
      </c>
      <c r="Q72" s="21">
        <f>'Oyster Crop Budget'!Q72</f>
        <v>31065.282899999998</v>
      </c>
      <c r="R72" s="21">
        <f>'Oyster Crop Budget'!R72</f>
        <v>30932.470399999998</v>
      </c>
      <c r="S72" s="21">
        <f>'Oyster Crop Budget'!S72</f>
        <v>30780.684685714288</v>
      </c>
      <c r="T72" s="21">
        <f>'Oyster Crop Budget'!T72</f>
        <v>30605.54732307692</v>
      </c>
      <c r="U72" s="21">
        <f>'Oyster Crop Budget'!U72</f>
        <v>30401.220399999998</v>
      </c>
      <c r="V72" s="21">
        <f>'Oyster Crop Budget'!V72</f>
        <v>30159.743127272726</v>
      </c>
      <c r="W72" s="21">
        <f>'Oyster Crop Budget'!W72</f>
        <v>29869.970399999998</v>
      </c>
      <c r="X72" s="21">
        <f>'Oyster Crop Budget'!X72</f>
        <v>29515.803733333334</v>
      </c>
      <c r="Y72" s="21">
        <f>'Oyster Crop Budget'!Y72</f>
        <v>29073.095399999998</v>
      </c>
      <c r="Z72" s="21">
        <f>'Oyster Crop Budget'!Z72</f>
        <v>28503.898971428571</v>
      </c>
      <c r="AA72" s="21">
        <f>'Oyster Crop Budget'!AA72</f>
        <v>27744.970399999998</v>
      </c>
      <c r="AB72" s="21">
        <f>'Oyster Crop Budget'!AB72</f>
        <v>26682.470399999998</v>
      </c>
    </row>
    <row r="73" spans="15:28" x14ac:dyDescent="0.25">
      <c r="O73" s="110">
        <f>'Oyster Crop Budget'!O73</f>
        <v>0.75</v>
      </c>
      <c r="P73" s="21">
        <f>'Oyster Crop Budget'!P73</f>
        <v>37432.470399999998</v>
      </c>
      <c r="Q73" s="21">
        <f>'Oyster Crop Budget'!Q73</f>
        <v>37315.282899999998</v>
      </c>
      <c r="R73" s="21">
        <f>'Oyster Crop Budget'!R73</f>
        <v>37182.470399999998</v>
      </c>
      <c r="S73" s="21">
        <f>'Oyster Crop Budget'!S73</f>
        <v>37030.684685714288</v>
      </c>
      <c r="T73" s="21">
        <f>'Oyster Crop Budget'!T73</f>
        <v>36855.54732307692</v>
      </c>
      <c r="U73" s="21">
        <f>'Oyster Crop Budget'!U73</f>
        <v>36651.220399999998</v>
      </c>
      <c r="V73" s="21">
        <f>'Oyster Crop Budget'!V73</f>
        <v>36409.743127272726</v>
      </c>
      <c r="W73" s="21">
        <f>'Oyster Crop Budget'!W73</f>
        <v>36119.970399999998</v>
      </c>
      <c r="X73" s="21">
        <f>'Oyster Crop Budget'!X73</f>
        <v>35765.803733333334</v>
      </c>
      <c r="Y73" s="21">
        <f>'Oyster Crop Budget'!Y73</f>
        <v>35323.095399999998</v>
      </c>
      <c r="Z73" s="21">
        <f>'Oyster Crop Budget'!Z73</f>
        <v>34753.898971428571</v>
      </c>
      <c r="AA73" s="21">
        <f>'Oyster Crop Budget'!AA73</f>
        <v>33994.970399999998</v>
      </c>
      <c r="AB73" s="21">
        <f>'Oyster Crop Budget'!AB73</f>
        <v>32932.470399999998</v>
      </c>
    </row>
    <row r="74" spans="15:28" x14ac:dyDescent="0.25">
      <c r="O74" s="110">
        <f>'Oyster Crop Budget'!O74</f>
        <v>0.8</v>
      </c>
      <c r="P74" s="21">
        <f>'Oyster Crop Budget'!P74</f>
        <v>43682.470399999998</v>
      </c>
      <c r="Q74" s="21">
        <f>'Oyster Crop Budget'!Q74</f>
        <v>43565.282899999998</v>
      </c>
      <c r="R74" s="21">
        <f>'Oyster Crop Budget'!R74</f>
        <v>43432.470399999998</v>
      </c>
      <c r="S74" s="21">
        <f>'Oyster Crop Budget'!S74</f>
        <v>43280.684685714288</v>
      </c>
      <c r="T74" s="21">
        <f>'Oyster Crop Budget'!T74</f>
        <v>43105.54732307692</v>
      </c>
      <c r="U74" s="21">
        <f>'Oyster Crop Budget'!U74</f>
        <v>42901.220399999998</v>
      </c>
      <c r="V74" s="21">
        <f>'Oyster Crop Budget'!V74</f>
        <v>42659.743127272726</v>
      </c>
      <c r="W74" s="21">
        <f>'Oyster Crop Budget'!W74</f>
        <v>42369.970399999998</v>
      </c>
      <c r="X74" s="21">
        <f>'Oyster Crop Budget'!X74</f>
        <v>42015.803733333334</v>
      </c>
      <c r="Y74" s="21">
        <f>'Oyster Crop Budget'!Y74</f>
        <v>41573.095399999998</v>
      </c>
      <c r="Z74" s="21">
        <f>'Oyster Crop Budget'!Z74</f>
        <v>41003.898971428571</v>
      </c>
      <c r="AA74" s="21">
        <f>'Oyster Crop Budget'!AA74</f>
        <v>40244.970399999998</v>
      </c>
      <c r="AB74" s="21">
        <f>'Oyster Crop Budget'!AB74</f>
        <v>39182.470399999998</v>
      </c>
    </row>
    <row r="75" spans="15:28" x14ac:dyDescent="0.25">
      <c r="O75" s="110">
        <f>'Oyster Crop Budget'!O75</f>
        <v>0.85</v>
      </c>
      <c r="P75" s="21">
        <f>'Oyster Crop Budget'!P75</f>
        <v>49932.470399999998</v>
      </c>
      <c r="Q75" s="21">
        <f>'Oyster Crop Budget'!Q75</f>
        <v>49815.282899999998</v>
      </c>
      <c r="R75" s="21">
        <f>'Oyster Crop Budget'!R75</f>
        <v>49682.470399999998</v>
      </c>
      <c r="S75" s="21">
        <f>'Oyster Crop Budget'!S75</f>
        <v>49530.684685714288</v>
      </c>
      <c r="T75" s="21">
        <f>'Oyster Crop Budget'!T75</f>
        <v>49355.54732307692</v>
      </c>
      <c r="U75" s="21">
        <f>'Oyster Crop Budget'!U75</f>
        <v>49151.220399999998</v>
      </c>
      <c r="V75" s="21">
        <f>'Oyster Crop Budget'!V75</f>
        <v>48909.743127272726</v>
      </c>
      <c r="W75" s="21">
        <f>'Oyster Crop Budget'!W75</f>
        <v>48619.970399999998</v>
      </c>
      <c r="X75" s="21">
        <f>'Oyster Crop Budget'!X75</f>
        <v>48265.803733333334</v>
      </c>
      <c r="Y75" s="21">
        <f>'Oyster Crop Budget'!Y75</f>
        <v>47823.095399999998</v>
      </c>
      <c r="Z75" s="21">
        <f>'Oyster Crop Budget'!Z75</f>
        <v>47253.898971428571</v>
      </c>
      <c r="AA75" s="21">
        <f>'Oyster Crop Budget'!AA75</f>
        <v>46494.970399999998</v>
      </c>
      <c r="AB75" s="21">
        <f>'Oyster Crop Budget'!AB75</f>
        <v>45432.470399999998</v>
      </c>
    </row>
    <row r="76" spans="15:28" x14ac:dyDescent="0.25">
      <c r="O76" s="110">
        <f>'Oyster Crop Budget'!O76</f>
        <v>0.9</v>
      </c>
      <c r="P76" s="21">
        <f>'Oyster Crop Budget'!P76</f>
        <v>56182.470399999998</v>
      </c>
      <c r="Q76" s="21">
        <f>'Oyster Crop Budget'!Q76</f>
        <v>56065.282899999998</v>
      </c>
      <c r="R76" s="21">
        <f>'Oyster Crop Budget'!R76</f>
        <v>55932.470399999998</v>
      </c>
      <c r="S76" s="21">
        <f>'Oyster Crop Budget'!S76</f>
        <v>55780.684685714288</v>
      </c>
      <c r="T76" s="21">
        <f>'Oyster Crop Budget'!T76</f>
        <v>55605.54732307692</v>
      </c>
      <c r="U76" s="21">
        <f>'Oyster Crop Budget'!U76</f>
        <v>55401.220399999998</v>
      </c>
      <c r="V76" s="21">
        <f>'Oyster Crop Budget'!V76</f>
        <v>55159.743127272726</v>
      </c>
      <c r="W76" s="21">
        <f>'Oyster Crop Budget'!W76</f>
        <v>54869.970399999998</v>
      </c>
      <c r="X76" s="21">
        <f>'Oyster Crop Budget'!X76</f>
        <v>54515.803733333334</v>
      </c>
      <c r="Y76" s="21">
        <f>'Oyster Crop Budget'!Y76</f>
        <v>54073.095399999998</v>
      </c>
      <c r="Z76" s="21">
        <f>'Oyster Crop Budget'!Z76</f>
        <v>53503.898971428571</v>
      </c>
      <c r="AA76" s="21">
        <f>'Oyster Crop Budget'!AA76</f>
        <v>52744.970399999998</v>
      </c>
      <c r="AB76" s="21">
        <f>'Oyster Crop Budget'!AB76</f>
        <v>51682.470399999998</v>
      </c>
    </row>
    <row r="77" spans="15:28" x14ac:dyDescent="0.25">
      <c r="O77" s="110">
        <f>'Oyster Crop Budget'!O77</f>
        <v>0.95</v>
      </c>
      <c r="P77" s="21">
        <f>'Oyster Crop Budget'!P77</f>
        <v>62432.470399999998</v>
      </c>
      <c r="Q77" s="21">
        <f>'Oyster Crop Budget'!Q77</f>
        <v>62315.282899999998</v>
      </c>
      <c r="R77" s="21">
        <f>'Oyster Crop Budget'!R77</f>
        <v>62182.470399999998</v>
      </c>
      <c r="S77" s="21">
        <f>'Oyster Crop Budget'!S77</f>
        <v>62030.684685714288</v>
      </c>
      <c r="T77" s="21">
        <f>'Oyster Crop Budget'!T77</f>
        <v>61855.54732307692</v>
      </c>
      <c r="U77" s="21">
        <f>'Oyster Crop Budget'!U77</f>
        <v>61651.220399999998</v>
      </c>
      <c r="V77" s="21">
        <f>'Oyster Crop Budget'!V77</f>
        <v>61409.743127272726</v>
      </c>
      <c r="W77" s="21">
        <f>'Oyster Crop Budget'!W77</f>
        <v>61119.970399999998</v>
      </c>
      <c r="X77" s="21">
        <f>'Oyster Crop Budget'!X77</f>
        <v>60765.803733333334</v>
      </c>
      <c r="Y77" s="21">
        <f>'Oyster Crop Budget'!Y77</f>
        <v>60323.095399999998</v>
      </c>
      <c r="Z77" s="21">
        <f>'Oyster Crop Budget'!Z77</f>
        <v>59753.898971428571</v>
      </c>
      <c r="AA77" s="21">
        <f>'Oyster Crop Budget'!AA77</f>
        <v>58994.970399999998</v>
      </c>
      <c r="AB77" s="21">
        <f>'Oyster Crop Budget'!AB77</f>
        <v>57932.470399999998</v>
      </c>
    </row>
    <row r="78" spans="15:28" x14ac:dyDescent="0.25">
      <c r="O78" s="110">
        <f>'Oyster Crop Budget'!O78</f>
        <v>1</v>
      </c>
      <c r="P78" s="21">
        <f>'Oyster Crop Budget'!P78</f>
        <v>68682.470399999991</v>
      </c>
      <c r="Q78" s="21">
        <f>'Oyster Crop Budget'!Q78</f>
        <v>68565.282899999991</v>
      </c>
      <c r="R78" s="21">
        <f>'Oyster Crop Budget'!R78</f>
        <v>68432.470399999991</v>
      </c>
      <c r="S78" s="21">
        <f>'Oyster Crop Budget'!S78</f>
        <v>68280.684685714281</v>
      </c>
      <c r="T78" s="21">
        <f>'Oyster Crop Budget'!T78</f>
        <v>68105.547323076928</v>
      </c>
      <c r="U78" s="21">
        <f>'Oyster Crop Budget'!U78</f>
        <v>67901.220399999991</v>
      </c>
      <c r="V78" s="21">
        <f>'Oyster Crop Budget'!V78</f>
        <v>67659.743127272726</v>
      </c>
      <c r="W78" s="21">
        <f>'Oyster Crop Budget'!W78</f>
        <v>67369.970399999991</v>
      </c>
      <c r="X78" s="21">
        <f>'Oyster Crop Budget'!X78</f>
        <v>67015.803733333334</v>
      </c>
      <c r="Y78" s="21">
        <f>'Oyster Crop Budget'!Y78</f>
        <v>66573.095399999991</v>
      </c>
      <c r="Z78" s="21">
        <f>'Oyster Crop Budget'!Z78</f>
        <v>66003.898971428571</v>
      </c>
      <c r="AA78" s="21">
        <f>'Oyster Crop Budget'!AA78</f>
        <v>65244.970399999998</v>
      </c>
      <c r="AB78" s="21">
        <f>'Oyster Crop Budget'!AB78</f>
        <v>64182.470399999998</v>
      </c>
    </row>
    <row r="81" spans="14:28" x14ac:dyDescent="0.25">
      <c r="N81" s="3" t="str">
        <f>'Oyster Crop Budget'!N81</f>
        <v>Year 5</v>
      </c>
      <c r="O81" s="110">
        <f>'Oyster Crop Budget'!O81</f>
        <v>4934.9703999999983</v>
      </c>
      <c r="P81" s="111">
        <f>'Oyster Crop Budget'!P81</f>
        <v>0.15</v>
      </c>
      <c r="Q81" s="111">
        <f>'Oyster Crop Budget'!Q81</f>
        <v>0.2</v>
      </c>
      <c r="R81" s="111">
        <f>'Oyster Crop Budget'!R81</f>
        <v>0.25</v>
      </c>
      <c r="S81" s="111">
        <f>'Oyster Crop Budget'!S81</f>
        <v>0.3</v>
      </c>
      <c r="T81" s="111">
        <f>'Oyster Crop Budget'!T81</f>
        <v>0.35</v>
      </c>
      <c r="U81" s="111">
        <f>'Oyster Crop Budget'!U81</f>
        <v>0.4</v>
      </c>
      <c r="V81" s="111">
        <f>'Oyster Crop Budget'!V81</f>
        <v>0.45</v>
      </c>
      <c r="W81" s="111">
        <f>'Oyster Crop Budget'!W81</f>
        <v>0.5</v>
      </c>
      <c r="X81" s="111">
        <f>'Oyster Crop Budget'!X81</f>
        <v>0.55000000000000004</v>
      </c>
      <c r="Y81" s="111">
        <f>'Oyster Crop Budget'!Y81</f>
        <v>0.6</v>
      </c>
      <c r="Z81" s="111">
        <f>'Oyster Crop Budget'!Z81</f>
        <v>0.65</v>
      </c>
      <c r="AA81" s="111">
        <f>'Oyster Crop Budget'!AA81</f>
        <v>0.7</v>
      </c>
      <c r="AB81" s="111">
        <f>'Oyster Crop Budget'!AB81</f>
        <v>0.75</v>
      </c>
    </row>
    <row r="82" spans="14:28" x14ac:dyDescent="0.25">
      <c r="O82" s="110">
        <f>'Oyster Crop Budget'!O82</f>
        <v>0.35</v>
      </c>
      <c r="P82" s="112">
        <f>'Oyster Crop Budget'!P82</f>
        <v>-4627.5296000000017</v>
      </c>
      <c r="Q82" s="112">
        <f>'Oyster Crop Budget'!Q82</f>
        <v>-4768.1546000000017</v>
      </c>
      <c r="R82" s="112">
        <f>'Oyster Crop Budget'!R82</f>
        <v>-4927.5296000000017</v>
      </c>
      <c r="S82" s="112">
        <f>'Oyster Crop Budget'!S82</f>
        <v>-5109.6724571428567</v>
      </c>
      <c r="T82" s="112">
        <f>'Oyster Crop Budget'!T82</f>
        <v>-5319.8372923076968</v>
      </c>
      <c r="U82" s="112">
        <f>'Oyster Crop Budget'!U82</f>
        <v>-5565.0296000000017</v>
      </c>
      <c r="V82" s="112">
        <f>'Oyster Crop Budget'!V82</f>
        <v>-5854.8023272727296</v>
      </c>
      <c r="W82" s="112">
        <f>'Oyster Crop Budget'!W82</f>
        <v>-6202.5296000000017</v>
      </c>
      <c r="X82" s="112">
        <f>'Oyster Crop Budget'!X82</f>
        <v>-6627.5296000000017</v>
      </c>
      <c r="Y82" s="112">
        <f>'Oyster Crop Budget'!Y82</f>
        <v>-7158.7796000000017</v>
      </c>
      <c r="Z82" s="112">
        <f>'Oyster Crop Budget'!Z82</f>
        <v>-7841.8153142857191</v>
      </c>
      <c r="AA82" s="112">
        <f>'Oyster Crop Budget'!AA82</f>
        <v>-8752.5296000000017</v>
      </c>
      <c r="AB82" s="112">
        <f>'Oyster Crop Budget'!AB82</f>
        <v>-10027.529600000002</v>
      </c>
    </row>
    <row r="83" spans="14:28" x14ac:dyDescent="0.25">
      <c r="O83" s="110">
        <f>'Oyster Crop Budget'!O83</f>
        <v>0.4</v>
      </c>
      <c r="P83" s="112">
        <f>'Oyster Crop Budget'!P83</f>
        <v>2872.4703999999983</v>
      </c>
      <c r="Q83" s="112">
        <f>'Oyster Crop Budget'!Q83</f>
        <v>2731.8453999999983</v>
      </c>
      <c r="R83" s="112">
        <f>'Oyster Crop Budget'!R83</f>
        <v>2572.4703999999983</v>
      </c>
      <c r="S83" s="112">
        <f>'Oyster Crop Budget'!S83</f>
        <v>2390.3275428571433</v>
      </c>
      <c r="T83" s="112">
        <f>'Oyster Crop Budget'!T83</f>
        <v>2180.1627076923032</v>
      </c>
      <c r="U83" s="112">
        <f>'Oyster Crop Budget'!U83</f>
        <v>1934.9703999999983</v>
      </c>
      <c r="V83" s="112">
        <f>'Oyster Crop Budget'!V83</f>
        <v>1645.1976727272704</v>
      </c>
      <c r="W83" s="112">
        <f>'Oyster Crop Budget'!W83</f>
        <v>1297.4703999999983</v>
      </c>
      <c r="X83" s="112">
        <f>'Oyster Crop Budget'!X83</f>
        <v>872.47039999999834</v>
      </c>
      <c r="Y83" s="112">
        <f>'Oyster Crop Budget'!Y83</f>
        <v>341.22039999999834</v>
      </c>
      <c r="Z83" s="112">
        <f>'Oyster Crop Budget'!Z83</f>
        <v>-341.81531428571907</v>
      </c>
      <c r="AA83" s="112">
        <f>'Oyster Crop Budget'!AA83</f>
        <v>-1252.5296000000017</v>
      </c>
      <c r="AB83" s="112">
        <f>'Oyster Crop Budget'!AB83</f>
        <v>-2527.5296000000017</v>
      </c>
    </row>
    <row r="84" spans="14:28" x14ac:dyDescent="0.25">
      <c r="O84" s="110">
        <f>'Oyster Crop Budget'!O84</f>
        <v>0.45</v>
      </c>
      <c r="P84" s="21">
        <f>'Oyster Crop Budget'!P84</f>
        <v>10372.470399999998</v>
      </c>
      <c r="Q84" s="21">
        <f>'Oyster Crop Budget'!Q84</f>
        <v>10231.845399999998</v>
      </c>
      <c r="R84" s="21">
        <f>'Oyster Crop Budget'!R84</f>
        <v>10072.470399999998</v>
      </c>
      <c r="S84" s="112">
        <f>'Oyster Crop Budget'!S84</f>
        <v>9890.3275428571433</v>
      </c>
      <c r="T84" s="112">
        <f>'Oyster Crop Budget'!T84</f>
        <v>9680.1627076923032</v>
      </c>
      <c r="U84" s="112">
        <f>'Oyster Crop Budget'!U84</f>
        <v>9434.9703999999983</v>
      </c>
      <c r="V84" s="112">
        <f>'Oyster Crop Budget'!V84</f>
        <v>9145.1976727272704</v>
      </c>
      <c r="W84" s="112">
        <f>'Oyster Crop Budget'!W84</f>
        <v>8797.4703999999983</v>
      </c>
      <c r="X84" s="112">
        <f>'Oyster Crop Budget'!X84</f>
        <v>8372.4703999999983</v>
      </c>
      <c r="Y84" s="112">
        <f>'Oyster Crop Budget'!Y84</f>
        <v>7841.2203999999983</v>
      </c>
      <c r="Z84" s="112">
        <f>'Oyster Crop Budget'!Z84</f>
        <v>7158.1846857142809</v>
      </c>
      <c r="AA84" s="112">
        <f>'Oyster Crop Budget'!AA84</f>
        <v>6247.4703999999983</v>
      </c>
      <c r="AB84" s="112">
        <f>'Oyster Crop Budget'!AB84</f>
        <v>4972.4703999999983</v>
      </c>
    </row>
    <row r="85" spans="14:28" x14ac:dyDescent="0.25">
      <c r="O85" s="110">
        <f>'Oyster Crop Budget'!O85</f>
        <v>0.5</v>
      </c>
      <c r="P85" s="21">
        <f>'Oyster Crop Budget'!P85</f>
        <v>17872.470399999998</v>
      </c>
      <c r="Q85" s="21">
        <f>'Oyster Crop Budget'!Q85</f>
        <v>17731.845399999998</v>
      </c>
      <c r="R85" s="21">
        <f>'Oyster Crop Budget'!R85</f>
        <v>17572.470399999998</v>
      </c>
      <c r="S85" s="21">
        <f>'Oyster Crop Budget'!S85</f>
        <v>17390.327542857143</v>
      </c>
      <c r="T85" s="21">
        <f>'Oyster Crop Budget'!T85</f>
        <v>17180.162707692303</v>
      </c>
      <c r="U85" s="21">
        <f>'Oyster Crop Budget'!U85</f>
        <v>16934.970399999998</v>
      </c>
      <c r="V85" s="21">
        <f>'Oyster Crop Budget'!V85</f>
        <v>16645.19767272727</v>
      </c>
      <c r="W85" s="21">
        <f>'Oyster Crop Budget'!W85</f>
        <v>16297.470399999998</v>
      </c>
      <c r="X85" s="21">
        <f>'Oyster Crop Budget'!X85</f>
        <v>15872.470399999998</v>
      </c>
      <c r="Y85" s="21">
        <f>'Oyster Crop Budget'!Y85</f>
        <v>15341.220399999998</v>
      </c>
      <c r="Z85" s="21">
        <f>'Oyster Crop Budget'!Z85</f>
        <v>14658.184685714281</v>
      </c>
      <c r="AA85" s="21">
        <f>'Oyster Crop Budget'!AA85</f>
        <v>13747.470399999998</v>
      </c>
      <c r="AB85" s="21">
        <f>'Oyster Crop Budget'!AB85</f>
        <v>12472.470399999998</v>
      </c>
    </row>
    <row r="86" spans="14:28" x14ac:dyDescent="0.25">
      <c r="O86" s="110">
        <f>'Oyster Crop Budget'!O86</f>
        <v>0.55000000000000004</v>
      </c>
      <c r="P86" s="21">
        <f>'Oyster Crop Budget'!P86</f>
        <v>25372.470399999998</v>
      </c>
      <c r="Q86" s="21">
        <f>'Oyster Crop Budget'!Q86</f>
        <v>25231.845399999998</v>
      </c>
      <c r="R86" s="21">
        <f>'Oyster Crop Budget'!R86</f>
        <v>25072.470399999998</v>
      </c>
      <c r="S86" s="21">
        <f>'Oyster Crop Budget'!S86</f>
        <v>24890.327542857143</v>
      </c>
      <c r="T86" s="21">
        <f>'Oyster Crop Budget'!T86</f>
        <v>24680.162707692303</v>
      </c>
      <c r="U86" s="21">
        <f>'Oyster Crop Budget'!U86</f>
        <v>24434.970399999998</v>
      </c>
      <c r="V86" s="21">
        <f>'Oyster Crop Budget'!V86</f>
        <v>24145.19767272727</v>
      </c>
      <c r="W86" s="21">
        <f>'Oyster Crop Budget'!W86</f>
        <v>23797.470399999998</v>
      </c>
      <c r="X86" s="21">
        <f>'Oyster Crop Budget'!X86</f>
        <v>23372.470399999998</v>
      </c>
      <c r="Y86" s="21">
        <f>'Oyster Crop Budget'!Y86</f>
        <v>22841.220399999998</v>
      </c>
      <c r="Z86" s="21">
        <f>'Oyster Crop Budget'!Z86</f>
        <v>22158.184685714281</v>
      </c>
      <c r="AA86" s="21">
        <f>'Oyster Crop Budget'!AA86</f>
        <v>21247.470399999998</v>
      </c>
      <c r="AB86" s="21">
        <f>'Oyster Crop Budget'!AB86</f>
        <v>19972.470399999998</v>
      </c>
    </row>
    <row r="87" spans="14:28" x14ac:dyDescent="0.25">
      <c r="O87" s="110">
        <f>'Oyster Crop Budget'!O87</f>
        <v>0.6</v>
      </c>
      <c r="P87" s="21">
        <f>'Oyster Crop Budget'!P87</f>
        <v>32872.470399999998</v>
      </c>
      <c r="Q87" s="21">
        <f>'Oyster Crop Budget'!Q87</f>
        <v>32731.845399999998</v>
      </c>
      <c r="R87" s="21">
        <f>'Oyster Crop Budget'!R87</f>
        <v>32572.470399999998</v>
      </c>
      <c r="S87" s="21">
        <f>'Oyster Crop Budget'!S87</f>
        <v>32390.327542857143</v>
      </c>
      <c r="T87" s="21">
        <f>'Oyster Crop Budget'!T87</f>
        <v>32180.162707692303</v>
      </c>
      <c r="U87" s="21">
        <f>'Oyster Crop Budget'!U87</f>
        <v>31934.970399999998</v>
      </c>
      <c r="V87" s="21">
        <f>'Oyster Crop Budget'!V87</f>
        <v>31645.19767272727</v>
      </c>
      <c r="W87" s="21">
        <f>'Oyster Crop Budget'!W87</f>
        <v>31297.470399999998</v>
      </c>
      <c r="X87" s="21">
        <f>'Oyster Crop Budget'!X87</f>
        <v>30872.470399999998</v>
      </c>
      <c r="Y87" s="21">
        <f>'Oyster Crop Budget'!Y87</f>
        <v>30341.220399999998</v>
      </c>
      <c r="Z87" s="21">
        <f>'Oyster Crop Budget'!Z87</f>
        <v>29658.184685714281</v>
      </c>
      <c r="AA87" s="21">
        <f>'Oyster Crop Budget'!AA87</f>
        <v>28747.470399999998</v>
      </c>
      <c r="AB87" s="21">
        <f>'Oyster Crop Budget'!AB87</f>
        <v>27472.470399999998</v>
      </c>
    </row>
    <row r="88" spans="14:28" x14ac:dyDescent="0.25">
      <c r="O88" s="110">
        <f>'Oyster Crop Budget'!O88</f>
        <v>0.65</v>
      </c>
      <c r="P88" s="21">
        <f>'Oyster Crop Budget'!P88</f>
        <v>40372.470399999998</v>
      </c>
      <c r="Q88" s="21">
        <f>'Oyster Crop Budget'!Q88</f>
        <v>40231.845399999998</v>
      </c>
      <c r="R88" s="21">
        <f>'Oyster Crop Budget'!R88</f>
        <v>40072.470399999998</v>
      </c>
      <c r="S88" s="21">
        <f>'Oyster Crop Budget'!S88</f>
        <v>39890.327542857143</v>
      </c>
      <c r="T88" s="21">
        <f>'Oyster Crop Budget'!T88</f>
        <v>39680.162707692303</v>
      </c>
      <c r="U88" s="21">
        <f>'Oyster Crop Budget'!U88</f>
        <v>39434.970399999998</v>
      </c>
      <c r="V88" s="21">
        <f>'Oyster Crop Budget'!V88</f>
        <v>39145.19767272727</v>
      </c>
      <c r="W88" s="21">
        <f>'Oyster Crop Budget'!W88</f>
        <v>38797.470399999998</v>
      </c>
      <c r="X88" s="21">
        <f>'Oyster Crop Budget'!X88</f>
        <v>38372.470399999998</v>
      </c>
      <c r="Y88" s="21">
        <f>'Oyster Crop Budget'!Y88</f>
        <v>37841.220399999998</v>
      </c>
      <c r="Z88" s="21">
        <f>'Oyster Crop Budget'!Z88</f>
        <v>37158.184685714281</v>
      </c>
      <c r="AA88" s="21">
        <f>'Oyster Crop Budget'!AA88</f>
        <v>36247.470399999998</v>
      </c>
      <c r="AB88" s="21">
        <f>'Oyster Crop Budget'!AB88</f>
        <v>34972.470399999998</v>
      </c>
    </row>
    <row r="89" spans="14:28" x14ac:dyDescent="0.25">
      <c r="O89" s="110">
        <f>'Oyster Crop Budget'!O89</f>
        <v>0.7</v>
      </c>
      <c r="P89" s="21">
        <f>'Oyster Crop Budget'!P89</f>
        <v>47872.470399999998</v>
      </c>
      <c r="Q89" s="21">
        <f>'Oyster Crop Budget'!Q89</f>
        <v>47731.845399999998</v>
      </c>
      <c r="R89" s="21">
        <f>'Oyster Crop Budget'!R89</f>
        <v>47572.470399999998</v>
      </c>
      <c r="S89" s="21">
        <f>'Oyster Crop Budget'!S89</f>
        <v>47390.327542857143</v>
      </c>
      <c r="T89" s="21">
        <f>'Oyster Crop Budget'!T89</f>
        <v>47180.162707692303</v>
      </c>
      <c r="U89" s="21">
        <f>'Oyster Crop Budget'!U89</f>
        <v>46934.970399999998</v>
      </c>
      <c r="V89" s="21">
        <f>'Oyster Crop Budget'!V89</f>
        <v>46645.19767272727</v>
      </c>
      <c r="W89" s="21">
        <f>'Oyster Crop Budget'!W89</f>
        <v>46297.470399999998</v>
      </c>
      <c r="X89" s="21">
        <f>'Oyster Crop Budget'!X89</f>
        <v>45872.470399999998</v>
      </c>
      <c r="Y89" s="21">
        <f>'Oyster Crop Budget'!Y89</f>
        <v>45341.220399999998</v>
      </c>
      <c r="Z89" s="21">
        <f>'Oyster Crop Budget'!Z89</f>
        <v>44658.184685714281</v>
      </c>
      <c r="AA89" s="21">
        <f>'Oyster Crop Budget'!AA89</f>
        <v>43747.470399999998</v>
      </c>
      <c r="AB89" s="21">
        <f>'Oyster Crop Budget'!AB89</f>
        <v>42472.470399999998</v>
      </c>
    </row>
    <row r="90" spans="14:28" x14ac:dyDescent="0.25">
      <c r="O90" s="110">
        <f>'Oyster Crop Budget'!O90</f>
        <v>0.75</v>
      </c>
      <c r="P90" s="21">
        <f>'Oyster Crop Budget'!P90</f>
        <v>55372.470399999998</v>
      </c>
      <c r="Q90" s="21">
        <f>'Oyster Crop Budget'!Q90</f>
        <v>55231.845399999998</v>
      </c>
      <c r="R90" s="21">
        <f>'Oyster Crop Budget'!R90</f>
        <v>55072.470399999998</v>
      </c>
      <c r="S90" s="21">
        <f>'Oyster Crop Budget'!S90</f>
        <v>54890.327542857143</v>
      </c>
      <c r="T90" s="21">
        <f>'Oyster Crop Budget'!T90</f>
        <v>54680.162707692303</v>
      </c>
      <c r="U90" s="21">
        <f>'Oyster Crop Budget'!U90</f>
        <v>54434.970399999998</v>
      </c>
      <c r="V90" s="21">
        <f>'Oyster Crop Budget'!V90</f>
        <v>54145.19767272727</v>
      </c>
      <c r="W90" s="21">
        <f>'Oyster Crop Budget'!W90</f>
        <v>53797.470399999998</v>
      </c>
      <c r="X90" s="21">
        <f>'Oyster Crop Budget'!X90</f>
        <v>53372.470399999998</v>
      </c>
      <c r="Y90" s="21">
        <f>'Oyster Crop Budget'!Y90</f>
        <v>52841.220399999998</v>
      </c>
      <c r="Z90" s="21">
        <f>'Oyster Crop Budget'!Z90</f>
        <v>52158.184685714281</v>
      </c>
      <c r="AA90" s="21">
        <f>'Oyster Crop Budget'!AA90</f>
        <v>51247.470399999998</v>
      </c>
      <c r="AB90" s="21">
        <f>'Oyster Crop Budget'!AB90</f>
        <v>49972.470399999998</v>
      </c>
    </row>
    <row r="91" spans="14:28" x14ac:dyDescent="0.25">
      <c r="O91" s="110">
        <f>'Oyster Crop Budget'!O91</f>
        <v>0.8</v>
      </c>
      <c r="P91" s="21">
        <f>'Oyster Crop Budget'!P91</f>
        <v>62872.470399999998</v>
      </c>
      <c r="Q91" s="21">
        <f>'Oyster Crop Budget'!Q91</f>
        <v>62731.845399999998</v>
      </c>
      <c r="R91" s="21">
        <f>'Oyster Crop Budget'!R91</f>
        <v>62572.470399999998</v>
      </c>
      <c r="S91" s="21">
        <f>'Oyster Crop Budget'!S91</f>
        <v>62390.327542857143</v>
      </c>
      <c r="T91" s="21">
        <f>'Oyster Crop Budget'!T91</f>
        <v>62180.162707692303</v>
      </c>
      <c r="U91" s="21">
        <f>'Oyster Crop Budget'!U91</f>
        <v>61934.970399999998</v>
      </c>
      <c r="V91" s="21">
        <f>'Oyster Crop Budget'!V91</f>
        <v>61645.19767272727</v>
      </c>
      <c r="W91" s="21">
        <f>'Oyster Crop Budget'!W91</f>
        <v>61297.470399999998</v>
      </c>
      <c r="X91" s="21">
        <f>'Oyster Crop Budget'!X91</f>
        <v>60872.470399999998</v>
      </c>
      <c r="Y91" s="21">
        <f>'Oyster Crop Budget'!Y91</f>
        <v>60341.220399999998</v>
      </c>
      <c r="Z91" s="21">
        <f>'Oyster Crop Budget'!Z91</f>
        <v>59658.184685714281</v>
      </c>
      <c r="AA91" s="21">
        <f>'Oyster Crop Budget'!AA91</f>
        <v>58747.470399999998</v>
      </c>
      <c r="AB91" s="21">
        <f>'Oyster Crop Budget'!AB91</f>
        <v>57472.470399999998</v>
      </c>
    </row>
    <row r="92" spans="14:28" x14ac:dyDescent="0.25">
      <c r="O92" s="110">
        <f>'Oyster Crop Budget'!O92</f>
        <v>0.85</v>
      </c>
      <c r="P92" s="21">
        <f>'Oyster Crop Budget'!P92</f>
        <v>70372.470399999991</v>
      </c>
      <c r="Q92" s="21">
        <f>'Oyster Crop Budget'!Q92</f>
        <v>70231.845399999991</v>
      </c>
      <c r="R92" s="21">
        <f>'Oyster Crop Budget'!R92</f>
        <v>70072.470399999991</v>
      </c>
      <c r="S92" s="21">
        <f>'Oyster Crop Budget'!S92</f>
        <v>69890.327542857151</v>
      </c>
      <c r="T92" s="21">
        <f>'Oyster Crop Budget'!T92</f>
        <v>69680.162707692303</v>
      </c>
      <c r="U92" s="21">
        <f>'Oyster Crop Budget'!U92</f>
        <v>69434.970399999991</v>
      </c>
      <c r="V92" s="21">
        <f>'Oyster Crop Budget'!V92</f>
        <v>69145.19767272727</v>
      </c>
      <c r="W92" s="21">
        <f>'Oyster Crop Budget'!W92</f>
        <v>68797.470399999991</v>
      </c>
      <c r="X92" s="21">
        <f>'Oyster Crop Budget'!X92</f>
        <v>68372.470399999991</v>
      </c>
      <c r="Y92" s="21">
        <f>'Oyster Crop Budget'!Y92</f>
        <v>67841.220399999991</v>
      </c>
      <c r="Z92" s="21">
        <f>'Oyster Crop Budget'!Z92</f>
        <v>67158.184685714281</v>
      </c>
      <c r="AA92" s="21">
        <f>'Oyster Crop Budget'!AA92</f>
        <v>66247.470399999991</v>
      </c>
      <c r="AB92" s="21">
        <f>'Oyster Crop Budget'!AB92</f>
        <v>64972.470399999998</v>
      </c>
    </row>
    <row r="93" spans="14:28" x14ac:dyDescent="0.25">
      <c r="O93" s="110">
        <f>'Oyster Crop Budget'!O93</f>
        <v>0.9</v>
      </c>
      <c r="P93" s="21">
        <f>'Oyster Crop Budget'!P93</f>
        <v>77872.470399999991</v>
      </c>
      <c r="Q93" s="21">
        <f>'Oyster Crop Budget'!Q93</f>
        <v>77731.845399999991</v>
      </c>
      <c r="R93" s="21">
        <f>'Oyster Crop Budget'!R93</f>
        <v>77572.470399999991</v>
      </c>
      <c r="S93" s="21">
        <f>'Oyster Crop Budget'!S93</f>
        <v>77390.327542857151</v>
      </c>
      <c r="T93" s="21">
        <f>'Oyster Crop Budget'!T93</f>
        <v>77180.162707692303</v>
      </c>
      <c r="U93" s="21">
        <f>'Oyster Crop Budget'!U93</f>
        <v>76934.970399999991</v>
      </c>
      <c r="V93" s="21">
        <f>'Oyster Crop Budget'!V93</f>
        <v>76645.19767272727</v>
      </c>
      <c r="W93" s="21">
        <f>'Oyster Crop Budget'!W93</f>
        <v>76297.470399999991</v>
      </c>
      <c r="X93" s="21">
        <f>'Oyster Crop Budget'!X93</f>
        <v>75872.470399999991</v>
      </c>
      <c r="Y93" s="21">
        <f>'Oyster Crop Budget'!Y93</f>
        <v>75341.220399999991</v>
      </c>
      <c r="Z93" s="21">
        <f>'Oyster Crop Budget'!Z93</f>
        <v>74658.184685714281</v>
      </c>
      <c r="AA93" s="21">
        <f>'Oyster Crop Budget'!AA93</f>
        <v>73747.470399999991</v>
      </c>
      <c r="AB93" s="21">
        <f>'Oyster Crop Budget'!AB93</f>
        <v>72472.470399999991</v>
      </c>
    </row>
    <row r="94" spans="14:28" x14ac:dyDescent="0.25">
      <c r="O94" s="110">
        <f>'Oyster Crop Budget'!O94</f>
        <v>0.95</v>
      </c>
      <c r="P94" s="21">
        <f>'Oyster Crop Budget'!P94</f>
        <v>85372.470399999991</v>
      </c>
      <c r="Q94" s="21">
        <f>'Oyster Crop Budget'!Q94</f>
        <v>85231.845399999991</v>
      </c>
      <c r="R94" s="21">
        <f>'Oyster Crop Budget'!R94</f>
        <v>85072.470399999991</v>
      </c>
      <c r="S94" s="21">
        <f>'Oyster Crop Budget'!S94</f>
        <v>84890.327542857151</v>
      </c>
      <c r="T94" s="21">
        <f>'Oyster Crop Budget'!T94</f>
        <v>84680.162707692303</v>
      </c>
      <c r="U94" s="21">
        <f>'Oyster Crop Budget'!U94</f>
        <v>84434.970399999991</v>
      </c>
      <c r="V94" s="21">
        <f>'Oyster Crop Budget'!V94</f>
        <v>84145.19767272727</v>
      </c>
      <c r="W94" s="21">
        <f>'Oyster Crop Budget'!W94</f>
        <v>83797.470399999991</v>
      </c>
      <c r="X94" s="21">
        <f>'Oyster Crop Budget'!X94</f>
        <v>83372.470399999991</v>
      </c>
      <c r="Y94" s="21">
        <f>'Oyster Crop Budget'!Y94</f>
        <v>82841.220399999991</v>
      </c>
      <c r="Z94" s="21">
        <f>'Oyster Crop Budget'!Z94</f>
        <v>82158.184685714281</v>
      </c>
      <c r="AA94" s="21">
        <f>'Oyster Crop Budget'!AA94</f>
        <v>81247.470399999991</v>
      </c>
      <c r="AB94" s="21">
        <f>'Oyster Crop Budget'!AB94</f>
        <v>79972.470399999991</v>
      </c>
    </row>
    <row r="95" spans="14:28" x14ac:dyDescent="0.25">
      <c r="O95" s="110">
        <f>'Oyster Crop Budget'!O95</f>
        <v>1</v>
      </c>
      <c r="P95" s="21">
        <f>'Oyster Crop Budget'!P95</f>
        <v>92872.470399999991</v>
      </c>
      <c r="Q95" s="21">
        <f>'Oyster Crop Budget'!Q95</f>
        <v>92731.845399999991</v>
      </c>
      <c r="R95" s="21">
        <f>'Oyster Crop Budget'!R95</f>
        <v>92572.470399999991</v>
      </c>
      <c r="S95" s="21">
        <f>'Oyster Crop Budget'!S95</f>
        <v>92390.327542857151</v>
      </c>
      <c r="T95" s="21">
        <f>'Oyster Crop Budget'!T95</f>
        <v>92180.162707692303</v>
      </c>
      <c r="U95" s="21">
        <f>'Oyster Crop Budget'!U95</f>
        <v>91934.970399999991</v>
      </c>
      <c r="V95" s="21">
        <f>'Oyster Crop Budget'!V95</f>
        <v>91645.19767272727</v>
      </c>
      <c r="W95" s="21">
        <f>'Oyster Crop Budget'!W95</f>
        <v>91297.470399999991</v>
      </c>
      <c r="X95" s="21">
        <f>'Oyster Crop Budget'!X95</f>
        <v>90872.470399999991</v>
      </c>
      <c r="Y95" s="21">
        <f>'Oyster Crop Budget'!Y95</f>
        <v>90341.220399999991</v>
      </c>
      <c r="Z95" s="21">
        <f>'Oyster Crop Budget'!Z95</f>
        <v>89658.184685714281</v>
      </c>
      <c r="AA95" s="21">
        <f>'Oyster Crop Budget'!AA95</f>
        <v>88747.470399999991</v>
      </c>
      <c r="AB95" s="21">
        <f>'Oyster Crop Budget'!AB95</f>
        <v>87472.470399999991</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Menu</vt:lpstr>
      <vt:lpstr>Oyster Crop Budget</vt:lpstr>
      <vt:lpstr>Line Item Notes</vt:lpstr>
      <vt:lpstr>Budget Evaluation</vt:lpstr>
      <vt:lpstr>Sensitivity Analysis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Tommie Shepherd</dc:creator>
  <cp:lastModifiedBy>Thomas Bliss</cp:lastModifiedBy>
  <dcterms:created xsi:type="dcterms:W3CDTF">2021-02-11T20:18:40Z</dcterms:created>
  <dcterms:modified xsi:type="dcterms:W3CDTF">2021-04-01T15:22:21Z</dcterms:modified>
</cp:coreProperties>
</file>