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Huber\Documents\Folders to update\CHAPTER 1 FILES\REPORTING\LNE13\LNE13-326\pub\"/>
    </mc:Choice>
  </mc:AlternateContent>
  <bookViews>
    <workbookView xWindow="0" yWindow="0" windowWidth="19200" windowHeight="6470"/>
  </bookViews>
  <sheets>
    <sheet name="Instructions - START HERE" sheetId="5" r:id="rId1"/>
    <sheet name="Model Input" sheetId="1" r:id="rId2"/>
    <sheet name="Overall Model Results" sheetId="2" r:id="rId3"/>
    <sheet name="Tabular Results" sheetId="3" r:id="rId4"/>
    <sheet name="Graphical Results" sheetId="4" r:id="rId5"/>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1" l="1"/>
  <c r="D23" i="1" l="1"/>
  <c r="D22" i="1"/>
  <c r="D5" i="2"/>
  <c r="D11" i="1" l="1"/>
  <c r="D12" i="1"/>
  <c r="D10" i="1"/>
  <c r="D6" i="2"/>
  <c r="L3" i="3"/>
  <c r="K3" i="3"/>
  <c r="J3" i="3"/>
  <c r="I3" i="3"/>
  <c r="H3" i="3"/>
  <c r="G3" i="3"/>
  <c r="F3" i="3"/>
  <c r="E3" i="3"/>
  <c r="D3" i="3"/>
  <c r="C1" i="3"/>
  <c r="D1" i="3" s="1"/>
  <c r="E1" i="3" s="1"/>
  <c r="F1" i="3" s="1"/>
  <c r="G1" i="3" s="1"/>
  <c r="H1" i="3" s="1"/>
  <c r="I1" i="3" s="1"/>
  <c r="J1" i="3" s="1"/>
  <c r="K1" i="3" s="1"/>
  <c r="L1" i="3" s="1"/>
  <c r="C3" i="3"/>
  <c r="C2" i="3"/>
  <c r="D4" i="2"/>
  <c r="W16" i="1"/>
  <c r="K14" i="1" s="1"/>
  <c r="D14" i="1" s="1"/>
  <c r="W11" i="1"/>
  <c r="K15" i="1" s="1"/>
  <c r="W6" i="1"/>
  <c r="J16" i="1" s="1"/>
  <c r="C8" i="3" l="1"/>
  <c r="K16" i="1"/>
  <c r="D16" i="1" s="1"/>
  <c r="F12" i="2"/>
  <c r="G12" i="2" s="1"/>
  <c r="C12" i="3"/>
  <c r="F14" i="2"/>
  <c r="G14" i="2" s="1"/>
  <c r="C7" i="3"/>
  <c r="C9" i="3"/>
  <c r="C11" i="3"/>
  <c r="C10" i="3"/>
  <c r="C13" i="3"/>
  <c r="F9" i="2"/>
  <c r="G9" i="2" s="1"/>
  <c r="I9" i="2" s="1"/>
  <c r="F10" i="2"/>
  <c r="G10" i="2" s="1"/>
  <c r="F11" i="2"/>
  <c r="G11" i="2" s="1"/>
  <c r="F15" i="2"/>
  <c r="G15" i="2" s="1"/>
  <c r="F13" i="2"/>
  <c r="G13" i="2" s="1"/>
  <c r="D2" i="3"/>
  <c r="K13" i="1"/>
  <c r="D13" i="1" s="1"/>
  <c r="J15" i="1"/>
  <c r="D15" i="1" s="1"/>
  <c r="D11" i="3" l="1"/>
  <c r="D13" i="3"/>
  <c r="D8" i="3"/>
  <c r="D12" i="3"/>
  <c r="D9" i="3"/>
  <c r="D7" i="3"/>
  <c r="D10" i="3"/>
  <c r="E2" i="3"/>
  <c r="E7" i="3" l="1"/>
  <c r="E10" i="3"/>
  <c r="E12" i="3"/>
  <c r="E11" i="3"/>
  <c r="E8" i="3"/>
  <c r="E9" i="3"/>
  <c r="E13" i="3"/>
  <c r="F2" i="3"/>
  <c r="F9" i="3" l="1"/>
  <c r="F13" i="3"/>
  <c r="F11" i="3"/>
  <c r="F7" i="3"/>
  <c r="F10" i="3"/>
  <c r="F8" i="3"/>
  <c r="F12" i="3"/>
  <c r="G2" i="3"/>
  <c r="G8" i="3" l="1"/>
  <c r="G12" i="3"/>
  <c r="G7" i="3"/>
  <c r="G10" i="3"/>
  <c r="G9" i="3"/>
  <c r="G13" i="3"/>
  <c r="G11" i="3"/>
  <c r="H2" i="3"/>
  <c r="H11" i="3" l="1"/>
  <c r="H9" i="3"/>
  <c r="H8" i="3"/>
  <c r="H12" i="3"/>
  <c r="H13" i="3"/>
  <c r="H7" i="3"/>
  <c r="H10" i="3"/>
  <c r="I2" i="3"/>
  <c r="I7" i="3" l="1"/>
  <c r="I10" i="3"/>
  <c r="I8" i="3"/>
  <c r="I11" i="3"/>
  <c r="I12" i="3"/>
  <c r="I9" i="3"/>
  <c r="I13" i="3"/>
  <c r="J2" i="3"/>
  <c r="J9" i="3" l="1"/>
  <c r="J13" i="3"/>
  <c r="J7" i="3"/>
  <c r="J10" i="3"/>
  <c r="J11" i="3"/>
  <c r="J8" i="3"/>
  <c r="J12" i="3"/>
  <c r="K2" i="3"/>
  <c r="K8" i="3" l="1"/>
  <c r="K12" i="3"/>
  <c r="K11" i="3"/>
  <c r="K9" i="3"/>
  <c r="K13" i="3"/>
  <c r="K7" i="3"/>
  <c r="K10" i="3"/>
  <c r="L2" i="3"/>
  <c r="L11" i="3" l="1"/>
  <c r="L8" i="3"/>
  <c r="M8" i="3" s="1"/>
  <c r="L12" i="3"/>
  <c r="L9" i="3"/>
  <c r="L13" i="3"/>
  <c r="L7" i="3"/>
  <c r="L10" i="3"/>
  <c r="M12" i="3" l="1"/>
  <c r="M7" i="3"/>
  <c r="M13" i="3"/>
  <c r="M10" i="3"/>
  <c r="M11" i="3"/>
  <c r="M9" i="3"/>
  <c r="D9" i="2" l="1"/>
  <c r="O7" i="3" s="1"/>
  <c r="J18" i="3" s="1"/>
  <c r="K18" i="3" l="1"/>
  <c r="L18" i="3"/>
  <c r="G18" i="3"/>
  <c r="H18" i="3"/>
  <c r="C18" i="3"/>
  <c r="I18" i="3"/>
  <c r="F18" i="3"/>
  <c r="E18" i="3"/>
  <c r="D18" i="3"/>
  <c r="M18" i="3" l="1"/>
  <c r="D12" i="2"/>
  <c r="O10" i="3" s="1"/>
  <c r="D13" i="2"/>
  <c r="I13" i="2" s="1"/>
  <c r="D14" i="2"/>
  <c r="O12" i="3" s="1"/>
  <c r="D10" i="2"/>
  <c r="I10" i="2" s="1"/>
  <c r="D11" i="2"/>
  <c r="I11" i="2" s="1"/>
  <c r="O8" i="3" l="1"/>
  <c r="F19" i="3" s="1"/>
  <c r="F30" i="3" s="1"/>
  <c r="D15" i="2"/>
  <c r="I15" i="2" s="1"/>
  <c r="I14" i="2"/>
  <c r="H23" i="3"/>
  <c r="H34" i="3" s="1"/>
  <c r="D23" i="3"/>
  <c r="D34" i="3" s="1"/>
  <c r="K23" i="3"/>
  <c r="K34" i="3" s="1"/>
  <c r="G21" i="3"/>
  <c r="G32" i="3" s="1"/>
  <c r="I21" i="3"/>
  <c r="I32" i="3" s="1"/>
  <c r="C21" i="3"/>
  <c r="C32" i="3" s="1"/>
  <c r="L21" i="3"/>
  <c r="L32" i="3" s="1"/>
  <c r="K21" i="3"/>
  <c r="K32" i="3" s="1"/>
  <c r="H21" i="3"/>
  <c r="H32" i="3" s="1"/>
  <c r="F21" i="3"/>
  <c r="F32" i="3" s="1"/>
  <c r="J21" i="3"/>
  <c r="J32" i="3" s="1"/>
  <c r="E21" i="3"/>
  <c r="E32" i="3" s="1"/>
  <c r="D21" i="3"/>
  <c r="D32" i="3" s="1"/>
  <c r="O9" i="3"/>
  <c r="C23" i="3"/>
  <c r="C34" i="3" s="1"/>
  <c r="O11" i="3"/>
  <c r="I12" i="2"/>
  <c r="L23" i="3"/>
  <c r="L34" i="3" s="1"/>
  <c r="E23" i="3"/>
  <c r="E34" i="3" s="1"/>
  <c r="H19" i="3"/>
  <c r="H30" i="3" s="1"/>
  <c r="J23" i="3"/>
  <c r="J34" i="3" s="1"/>
  <c r="I23" i="3"/>
  <c r="I34" i="3" s="1"/>
  <c r="F23" i="3"/>
  <c r="F34" i="3" s="1"/>
  <c r="E19" i="3"/>
  <c r="E30" i="3" s="1"/>
  <c r="G19" i="3"/>
  <c r="G30" i="3" s="1"/>
  <c r="G23" i="3"/>
  <c r="G34" i="3" s="1"/>
  <c r="I19" i="3" l="1"/>
  <c r="I30" i="3" s="1"/>
  <c r="L19" i="3"/>
  <c r="L30" i="3" s="1"/>
  <c r="D19" i="3"/>
  <c r="D30" i="3" s="1"/>
  <c r="O13" i="3"/>
  <c r="E24" i="3" s="1"/>
  <c r="E35" i="3" s="1"/>
  <c r="J19" i="3"/>
  <c r="J30" i="3" s="1"/>
  <c r="C19" i="3"/>
  <c r="C30" i="3" s="1"/>
  <c r="K19" i="3"/>
  <c r="K30" i="3" s="1"/>
  <c r="M34" i="3"/>
  <c r="M32" i="3"/>
  <c r="K20" i="3"/>
  <c r="K31" i="3" s="1"/>
  <c r="I20" i="3"/>
  <c r="I31" i="3" s="1"/>
  <c r="D20" i="3"/>
  <c r="D31" i="3" s="1"/>
  <c r="L20" i="3"/>
  <c r="L31" i="3" s="1"/>
  <c r="F20" i="3"/>
  <c r="F31" i="3" s="1"/>
  <c r="C20" i="3"/>
  <c r="C31" i="3" s="1"/>
  <c r="E20" i="3"/>
  <c r="E31" i="3" s="1"/>
  <c r="J20" i="3"/>
  <c r="J31" i="3" s="1"/>
  <c r="G20" i="3"/>
  <c r="G31" i="3" s="1"/>
  <c r="H20" i="3"/>
  <c r="H31" i="3" s="1"/>
  <c r="H22" i="3"/>
  <c r="H33" i="3" s="1"/>
  <c r="F22" i="3"/>
  <c r="F33" i="3" s="1"/>
  <c r="E22" i="3"/>
  <c r="E33" i="3" s="1"/>
  <c r="J22" i="3"/>
  <c r="J33" i="3" s="1"/>
  <c r="D22" i="3"/>
  <c r="D33" i="3" s="1"/>
  <c r="G22" i="3"/>
  <c r="G33" i="3" s="1"/>
  <c r="I22" i="3"/>
  <c r="I33" i="3" s="1"/>
  <c r="C22" i="3"/>
  <c r="C33" i="3" s="1"/>
  <c r="K22" i="3"/>
  <c r="K33" i="3" s="1"/>
  <c r="L22" i="3"/>
  <c r="L33" i="3" s="1"/>
  <c r="M21" i="3"/>
  <c r="M23" i="3"/>
  <c r="M19" i="3" l="1"/>
  <c r="M30" i="3"/>
  <c r="J24" i="3"/>
  <c r="J35" i="3" s="1"/>
  <c r="H24" i="3"/>
  <c r="H35" i="3" s="1"/>
  <c r="I24" i="3"/>
  <c r="I35" i="3" s="1"/>
  <c r="K24" i="3"/>
  <c r="K35" i="3" s="1"/>
  <c r="C24" i="3"/>
  <c r="C35" i="3" s="1"/>
  <c r="F24" i="3"/>
  <c r="F35" i="3" s="1"/>
  <c r="L24" i="3"/>
  <c r="L35" i="3" s="1"/>
  <c r="D24" i="3"/>
  <c r="D35" i="3" s="1"/>
  <c r="G24" i="3"/>
  <c r="G35" i="3" s="1"/>
  <c r="M33" i="3"/>
  <c r="M31" i="3"/>
  <c r="M20" i="3"/>
  <c r="M22" i="3"/>
  <c r="M35" i="3" l="1"/>
  <c r="M24" i="3"/>
</calcChain>
</file>

<file path=xl/comments1.xml><?xml version="1.0" encoding="utf-8"?>
<comments xmlns="http://schemas.openxmlformats.org/spreadsheetml/2006/main">
  <authors>
    <author>DrTimPerkins</author>
    <author>Dr. Timothy Perkins</author>
  </authors>
  <commentList>
    <comment ref="B2" authorId="0" shapeId="0">
      <text>
        <r>
          <rPr>
            <b/>
            <sz val="11"/>
            <color indexed="81"/>
            <rFont val="Tahoma"/>
            <family val="2"/>
          </rPr>
          <t xml:space="preserve">Costs of materials and labor for different strategies can be input into </t>
        </r>
        <r>
          <rPr>
            <b/>
            <sz val="11"/>
            <color indexed="10"/>
            <rFont val="Tahoma"/>
            <family val="2"/>
          </rPr>
          <t>RED</t>
        </r>
        <r>
          <rPr>
            <b/>
            <sz val="11"/>
            <color indexed="81"/>
            <rFont val="Tahoma"/>
            <family val="2"/>
          </rPr>
          <t xml:space="preserve"> boxes.</t>
        </r>
      </text>
    </comment>
    <comment ref="V2" authorId="0" shapeId="0">
      <text>
        <r>
          <rPr>
            <b/>
            <sz val="9"/>
            <color indexed="81"/>
            <rFont val="Tahoma"/>
            <family val="2"/>
          </rPr>
          <t xml:space="preserve">These calculators can be used to determine the cost of labor for different activities. Enter the pay rate ($/hr) and quantity handled per hour into the </t>
        </r>
        <r>
          <rPr>
            <b/>
            <sz val="9"/>
            <color indexed="39"/>
            <rFont val="Tahoma"/>
            <family val="2"/>
          </rPr>
          <t>BLUE</t>
        </r>
        <r>
          <rPr>
            <b/>
            <sz val="9"/>
            <color indexed="81"/>
            <rFont val="Tahoma"/>
            <family val="2"/>
          </rPr>
          <t xml:space="preserve"> boxes. The labor cost per drop/tap is shown in the </t>
        </r>
        <r>
          <rPr>
            <b/>
            <sz val="9"/>
            <color indexed="17"/>
            <rFont val="Tahoma"/>
            <family val="2"/>
          </rPr>
          <t xml:space="preserve">GREEN </t>
        </r>
        <r>
          <rPr>
            <b/>
            <sz val="9"/>
            <color indexed="81"/>
            <rFont val="Tahoma"/>
            <family val="2"/>
          </rPr>
          <t>box.</t>
        </r>
      </text>
    </comment>
    <comment ref="D4" authorId="0" shapeId="0">
      <text>
        <r>
          <rPr>
            <sz val="9"/>
            <color indexed="81"/>
            <rFont val="Tahoma"/>
            <family val="2"/>
          </rPr>
          <t>Input the maximum amount of sap (gal/tap) you anticipate for your tubing setup and vacuum level OR the yield you produced in the first year after retubing</t>
        </r>
      </text>
    </comment>
    <comment ref="D5" authorId="1" shapeId="0">
      <text>
        <r>
          <rPr>
            <sz val="9"/>
            <color indexed="81"/>
            <rFont val="Tahoma"/>
            <family val="2"/>
          </rPr>
          <t>Enter the current tubing system age (in years).  
New tubing = 1.</t>
        </r>
      </text>
    </comment>
    <comment ref="D6" authorId="0" shapeId="0">
      <text>
        <r>
          <rPr>
            <sz val="9"/>
            <color indexed="81"/>
            <rFont val="Tahoma"/>
            <family val="2"/>
          </rPr>
          <t>Input the value ($/gal) you place on your sap.  This will vary depending upon how you sell your syrup (or sap).  The "Sap Value Guidance" section below can be used to estimate this number.</t>
        </r>
      </text>
    </comment>
    <comment ref="B10" authorId="1" shapeId="0">
      <text>
        <r>
          <rPr>
            <sz val="9"/>
            <color indexed="81"/>
            <rFont val="Tahoma"/>
            <family val="2"/>
          </rPr>
          <t>No replacement of spouts or drops beyond that to fix leaks.  No cleaning with sanitizers (water or "dry cleaning")</t>
        </r>
      </text>
    </comment>
    <comment ref="B11" authorId="1" shapeId="0">
      <text>
        <r>
          <rPr>
            <sz val="9"/>
            <color indexed="81"/>
            <rFont val="Tahoma"/>
            <family val="2"/>
          </rPr>
          <t>Annual spout replacement with a standard (non-CV or antimicrobial silver) spout</t>
        </r>
      </text>
    </comment>
    <comment ref="B12" authorId="1" shapeId="0">
      <text>
        <r>
          <rPr>
            <sz val="9"/>
            <color indexed="81"/>
            <rFont val="Tahoma"/>
            <family val="2"/>
          </rPr>
          <t>Use of a Leader Check-valve stubby and adapter or a Leader CV spout</t>
        </r>
      </text>
    </comment>
    <comment ref="B13" authorId="1" shapeId="0">
      <text>
        <r>
          <rPr>
            <sz val="9"/>
            <color indexed="81"/>
            <rFont val="Tahoma"/>
            <family val="2"/>
          </rPr>
          <t>Use of a chemical sanitizer at too low a concentration to be effective or with too little contact time (sucked in under vacuum).  If using sanitizer, rinsing of the system with clean water or allowing the first run of sap to flow on the ground is required and factored in to the results</t>
        </r>
      </text>
    </comment>
    <comment ref="B14" authorId="1" shapeId="0">
      <text>
        <r>
          <rPr>
            <sz val="9"/>
            <color indexed="81"/>
            <rFont val="Tahoma"/>
            <family val="2"/>
          </rPr>
          <t>Use of an approved chemical sanitizer at the appropriate concentration and meeting the required minimum contact time.  If using sanitizer, rinsing with clean water or allowing the first run of sap to flow on the ground is required and factored in to the results.</t>
        </r>
      </text>
    </comment>
    <comment ref="B15" authorId="1" shapeId="0">
      <text>
        <r>
          <rPr>
            <sz val="9"/>
            <color indexed="81"/>
            <rFont val="Tahoma"/>
            <family val="2"/>
          </rPr>
          <t>Annual replacement of the dropline (tubing, tee and spout).   Labor to assemble and install the drops is factored into the results.  The cost of this can be determined using the calculators on the right of the page.</t>
        </r>
      </text>
    </comment>
    <comment ref="B16" authorId="1" shapeId="0">
      <text>
        <r>
          <rPr>
            <sz val="9"/>
            <color indexed="81"/>
            <rFont val="Tahoma"/>
            <family val="2"/>
          </rPr>
          <t>Drop replacement on a three-year cycle either by replacing all drops in the system every three years, or by replacing 1/3 of the drops each year.  Labor to assemble and install the drops is factored into the results.  The cost of this can be determined using the calculators on the right of the page.</t>
        </r>
      </text>
    </comment>
  </commentList>
</comments>
</file>

<file path=xl/comments2.xml><?xml version="1.0" encoding="utf-8"?>
<comments xmlns="http://schemas.openxmlformats.org/spreadsheetml/2006/main">
  <authors>
    <author>DrTimPerkins</author>
  </authors>
  <commentList>
    <comment ref="B2" authorId="0" shapeId="0">
      <text>
        <r>
          <rPr>
            <b/>
            <sz val="11"/>
            <color indexed="81"/>
            <rFont val="Tahoma"/>
            <family val="2"/>
          </rPr>
          <t xml:space="preserve">Costs of materials and labor for different strategies can be input into </t>
        </r>
        <r>
          <rPr>
            <b/>
            <sz val="11"/>
            <color indexed="10"/>
            <rFont val="Tahoma"/>
            <family val="2"/>
          </rPr>
          <t>RED</t>
        </r>
        <r>
          <rPr>
            <b/>
            <sz val="11"/>
            <color indexed="81"/>
            <rFont val="Tahoma"/>
            <family val="2"/>
          </rPr>
          <t xml:space="preserve"> boxes.</t>
        </r>
      </text>
    </comment>
  </commentList>
</comments>
</file>

<file path=xl/sharedStrings.xml><?xml version="1.0" encoding="utf-8"?>
<sst xmlns="http://schemas.openxmlformats.org/spreadsheetml/2006/main" count="143" uniqueCount="88">
  <si>
    <t>Effects of Sanitation Strategy in 5/16" Tubing on Sap Yield and Net Profit</t>
  </si>
  <si>
    <t>Model Input Variables</t>
  </si>
  <si>
    <t>STRATEGY</t>
  </si>
  <si>
    <t>Tubing</t>
  </si>
  <si>
    <t>Tee</t>
  </si>
  <si>
    <t>Spout</t>
  </si>
  <si>
    <t>Sanitizer</t>
  </si>
  <si>
    <t>Assembly</t>
  </si>
  <si>
    <r>
      <t xml:space="preserve">Install </t>
    </r>
    <r>
      <rPr>
        <b/>
        <i/>
        <u/>
        <sz val="11"/>
        <color theme="1"/>
        <rFont val="Calibri"/>
        <family val="2"/>
        <scheme val="minor"/>
      </rPr>
      <t>or</t>
    </r>
    <r>
      <rPr>
        <b/>
        <i/>
        <sz val="11"/>
        <color theme="1"/>
        <rFont val="Calibri"/>
        <family val="2"/>
        <scheme val="minor"/>
      </rPr>
      <t xml:space="preserve"> Clean</t>
    </r>
  </si>
  <si>
    <t>=</t>
  </si>
  <si>
    <t>Baseline Sap/Tap (gal)</t>
  </si>
  <si>
    <t>Value of Sap/Gal ($)</t>
  </si>
  <si>
    <t>Cost</t>
  </si>
  <si>
    <t>estimated or actual production of sap first year after re-tubing</t>
  </si>
  <si>
    <t>price per gallon you value your sap</t>
  </si>
  <si>
    <t>Age of Tubing (Yrs)</t>
  </si>
  <si>
    <t>new tubing = 1</t>
  </si>
  <si>
    <t>LABOR CALCULATIONS</t>
  </si>
  <si>
    <t>Drop Assembly Labor Calculations</t>
  </si>
  <si>
    <t>Pay rate/hr</t>
  </si>
  <si>
    <t>Number drops made/hr</t>
  </si>
  <si>
    <t>Assembly cost per drop</t>
  </si>
  <si>
    <t>Drop Installation Labor Calculations</t>
  </si>
  <si>
    <t>Number drops installed/hr</t>
  </si>
  <si>
    <t>Installation cost per tap</t>
  </si>
  <si>
    <t>Cleaning Labor Calculations</t>
  </si>
  <si>
    <t>Number drops cleaned/hr</t>
  </si>
  <si>
    <t>Cost per tap</t>
  </si>
  <si>
    <t>TOTAL ANNUAL COST</t>
  </si>
  <si>
    <t xml:space="preserve">   &lt;-----         Labor         -----&gt;</t>
  </si>
  <si>
    <t>Rinse or Lost Sap</t>
  </si>
  <si>
    <t>Explanation</t>
  </si>
  <si>
    <t>Variable</t>
  </si>
  <si>
    <t>Model Output</t>
  </si>
  <si>
    <r>
      <t xml:space="preserve">Estimated Sap Value </t>
    </r>
    <r>
      <rPr>
        <i/>
        <sz val="11"/>
        <color theme="1"/>
        <rFont val="Calibri"/>
        <family val="2"/>
        <scheme val="minor"/>
      </rPr>
      <t>($)</t>
    </r>
  </si>
  <si>
    <r>
      <t xml:space="preserve">Estimated Annual Cost </t>
    </r>
    <r>
      <rPr>
        <i/>
        <sz val="11"/>
        <color theme="1"/>
        <rFont val="Calibri"/>
        <family val="2"/>
        <scheme val="minor"/>
      </rPr>
      <t>($/tap)</t>
    </r>
  </si>
  <si>
    <r>
      <t>Estimated Annual Net Profit Above No Replacement</t>
    </r>
    <r>
      <rPr>
        <i/>
        <sz val="11"/>
        <color theme="1"/>
        <rFont val="Calibri"/>
        <family val="2"/>
        <scheme val="minor"/>
      </rPr>
      <t>($/tap)</t>
    </r>
  </si>
  <si>
    <r>
      <t xml:space="preserve">Estimated Average Sap Yield </t>
    </r>
    <r>
      <rPr>
        <i/>
        <sz val="11"/>
        <color theme="1"/>
        <rFont val="Calibri"/>
        <family val="2"/>
        <scheme val="minor"/>
      </rPr>
      <t>(gal/tap)</t>
    </r>
  </si>
  <si>
    <t>Year</t>
  </si>
  <si>
    <t>Estimated Annual Sap Yield (gal/tap)</t>
  </si>
  <si>
    <t>No Sanitation</t>
  </si>
  <si>
    <t>Spout Replacement</t>
  </si>
  <si>
    <t>Check-Valve Use</t>
  </si>
  <si>
    <t>Sanitizer - Low Clean</t>
  </si>
  <si>
    <t>Sanitizer - Max Clean</t>
  </si>
  <si>
    <t>Drop Replacement (Annual)</t>
  </si>
  <si>
    <t>Drop Replacement (3 Yr Interval)</t>
  </si>
  <si>
    <t>&lt;---                 Materials                ---&gt;</t>
  </si>
  <si>
    <t>10-Yr Average</t>
  </si>
  <si>
    <t>Avg Cost</t>
  </si>
  <si>
    <t>Estimated Annual Net Profit ($/tap)</t>
  </si>
  <si>
    <t>Sap Value</t>
  </si>
  <si>
    <t>Estimated Annual Net Profit ($/tap) Above Cost of No Sanitation</t>
  </si>
  <si>
    <t>Version 4.04 9-11-2018</t>
  </si>
  <si>
    <t>Instructions:</t>
  </si>
  <si>
    <t>Enter your data into the boxes on the "Model Input Sheet" shaded pink with a red outline like that shown here</t>
  </si>
  <si>
    <t>Results will be displayed on the "Results" tabs in various forms.</t>
  </si>
  <si>
    <t>Sap Value Guidance</t>
  </si>
  <si>
    <t>Bulk Price of Syrup</t>
  </si>
  <si>
    <t>Select the method you use to sell sap or syrup</t>
  </si>
  <si>
    <t>EFFECTS OF SPOUT AND DROPLINE SANITATION STRATEGIES ON SAP YIELD AND NET PROFIT</t>
  </si>
  <si>
    <t>Sap yields from maple trees depend upon several important factors.  One of these is sanitation of the spout and dropline.  More information on this subject is available</t>
  </si>
  <si>
    <t>Each option has effects on sap yield as well as the cost, both of which influence the resulting net profit of each strategy.</t>
  </si>
  <si>
    <t xml:space="preserve">The model in this workbook is designed to help maple producers select the spout and tubing sanitation strategy that will optimize their sap yields and net profits.  </t>
  </si>
  <si>
    <r>
      <t xml:space="preserve">This model applies only to 5/16" tubing systems (lateral lines and drop lines).  It should </t>
    </r>
    <r>
      <rPr>
        <u/>
        <sz val="11"/>
        <color theme="1"/>
        <rFont val="Calibri"/>
        <family val="2"/>
        <scheme val="minor"/>
      </rPr>
      <t>not</t>
    </r>
    <r>
      <rPr>
        <sz val="11"/>
        <color theme="1"/>
        <rFont val="Calibri"/>
        <family val="2"/>
        <scheme val="minor"/>
      </rPr>
      <t xml:space="preserve"> be used for 3/16" tubing systems.  </t>
    </r>
  </si>
  <si>
    <t xml:space="preserve">On the following sheet, input the required variables in the boxes that have are shaded red with a red outline such as that to the right </t>
  </si>
  <si>
    <r>
      <t>Be sure to input the number in the units required, which are typically U.S. gallons and U.S. $.  Fill in</t>
    </r>
    <r>
      <rPr>
        <b/>
        <sz val="11"/>
        <color theme="1"/>
        <rFont val="Calibri"/>
        <family val="2"/>
        <scheme val="minor"/>
      </rPr>
      <t xml:space="preserve"> ALL</t>
    </r>
    <r>
      <rPr>
        <sz val="11"/>
        <color theme="1"/>
        <rFont val="Calibri"/>
        <family val="2"/>
        <scheme val="minor"/>
      </rPr>
      <t xml:space="preserve"> the boxes with the appropriate information.</t>
    </r>
  </si>
  <si>
    <t>Do not attempt to modify the formulas that calculate the results.</t>
  </si>
  <si>
    <t>Labor calculators are to the right of the main model.  Sap value guidance calculators appear at the bottom.</t>
  </si>
  <si>
    <t xml:space="preserve">This project was supported by the National Institute of Food and Agriculture, U.S. Department of Agriculture, through the Northeast Sustainable Agriculture </t>
  </si>
  <si>
    <t xml:space="preserve">Research and Education program under subaward number LNE13-326, by the North American Maple Syrup Council Research Fund, and by the University of </t>
  </si>
  <si>
    <t>Vermont and Cornell University.</t>
  </si>
  <si>
    <t>Selling Retail ($/gal)</t>
  </si>
  <si>
    <t>If Selling Sap (50% Bulk Price)</t>
  </si>
  <si>
    <t>If Selling Bulk Syrup</t>
  </si>
  <si>
    <t>If Selling Retail</t>
  </si>
  <si>
    <t>Enter either the bulk price or retail price depending</t>
  </si>
  <si>
    <t>upon your sales method.  Choose the resulting</t>
  </si>
  <si>
    <t>value to enter into the "Sap Value" box above.</t>
  </si>
  <si>
    <t xml:space="preserve"> highest estimated or actual production of sap, typically the first year after re-tubing</t>
  </si>
  <si>
    <t xml:space="preserve"> new tubing = 1</t>
  </si>
  <si>
    <t xml:space="preserve"> price per gallon you value your sap, see "Sap Value Guidance" section below for help</t>
  </si>
  <si>
    <t xml:space="preserve">Note that the results presented represent the averages of several research studies over multiple years.  Given that each year and each system is different, </t>
  </si>
  <si>
    <t>we cannot guarantee that you will experience the results shown here.  The values shown are estimates for illustration only and are based upon the</t>
  </si>
  <si>
    <t xml:space="preserve">information presently available. </t>
  </si>
  <si>
    <t>on the UVM Proctor Maple Research Center (http://www.uvm.edu/pmrc) and Cornell Maple Program (https://blogs.cornell.edu/cornellmaple/) websites.</t>
  </si>
  <si>
    <t>If you "hover" the cursor over these data input boxes, a comment with further information will pop up.</t>
  </si>
  <si>
    <r>
      <t xml:space="preserve">From here, proceed to the </t>
    </r>
    <r>
      <rPr>
        <b/>
        <sz val="11"/>
        <color theme="1"/>
        <rFont val="Calibri"/>
        <family val="2"/>
        <scheme val="minor"/>
      </rPr>
      <t>"Model Input"</t>
    </r>
    <r>
      <rPr>
        <sz val="11"/>
        <color theme="1"/>
        <rFont val="Calibri"/>
        <family val="2"/>
        <scheme val="minor"/>
      </rPr>
      <t xml:space="preserve"> sheet.  After entering the necessary data, results are presenting on the accompanying sheets in different ways.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</si>
</sst>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0.00_);\(&quot;$&quot;#,##0.00\)"/>
    <numFmt numFmtId="44" formatCode="_(&quot;$&quot;* #,##0.00_);_(&quot;$&quot;* \(#,##0.00\);_(&quot;$&quot;* &quot;-&quot;??_);_(@_)"/>
    <numFmt numFmtId="43" formatCode="_(* #,##0.00_);_(* \(#,##0.00\);_(* &quot;-&quot;??_);_(@_)"/>
    <numFmt numFmtId="164" formatCode="0.0"/>
    <numFmt numFmtId="165" formatCode="_(* #,##0.0_);_(* \(#,##0.0\);_(* &quot;-&quot;??_);_(@_)"/>
    <numFmt numFmtId="166" formatCode="_(* #,##0_);_(* \(#,##0\);_(* &quot;-&quot;??_);_(@_)"/>
    <numFmt numFmtId="167" formatCode="_(* #,##0.0_);_(* \(#,##0.0\);_(* &quot;-&quot;?_);_(@_)"/>
  </numFmts>
  <fonts count="2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i/>
      <sz val="11"/>
      <color theme="1"/>
      <name val="Calibri"/>
      <family val="2"/>
      <scheme val="minor"/>
    </font>
    <font>
      <b/>
      <i/>
      <sz val="12"/>
      <color theme="1"/>
      <name val="Calibri"/>
      <family val="2"/>
      <scheme val="minor"/>
    </font>
    <font>
      <b/>
      <i/>
      <sz val="11"/>
      <color theme="1"/>
      <name val="Calibri"/>
      <family val="2"/>
      <scheme val="minor"/>
    </font>
    <font>
      <b/>
      <i/>
      <u/>
      <sz val="11"/>
      <color theme="1"/>
      <name val="Calibri"/>
      <family val="2"/>
      <scheme val="minor"/>
    </font>
    <font>
      <b/>
      <sz val="11"/>
      <color indexed="81"/>
      <name val="Tahoma"/>
      <family val="2"/>
    </font>
    <font>
      <b/>
      <sz val="11"/>
      <color indexed="10"/>
      <name val="Tahoma"/>
      <family val="2"/>
    </font>
    <font>
      <b/>
      <sz val="9"/>
      <color indexed="81"/>
      <name val="Tahoma"/>
      <family val="2"/>
    </font>
    <font>
      <sz val="11"/>
      <color rgb="FF00B050"/>
      <name val="Calibri"/>
      <family val="2"/>
      <scheme val="minor"/>
    </font>
    <font>
      <sz val="11"/>
      <color rgb="FF0070C0"/>
      <name val="Calibri"/>
      <family val="2"/>
      <scheme val="minor"/>
    </font>
    <font>
      <sz val="11"/>
      <color rgb="FF7030A0"/>
      <name val="Calibri"/>
      <family val="2"/>
      <scheme val="minor"/>
    </font>
    <font>
      <sz val="11"/>
      <color theme="9" tint="-0.249977111117893"/>
      <name val="Calibri"/>
      <family val="2"/>
      <scheme val="minor"/>
    </font>
    <font>
      <b/>
      <i/>
      <sz val="18"/>
      <color theme="1"/>
      <name val="Calibri"/>
      <family val="2"/>
      <scheme val="minor"/>
    </font>
    <font>
      <sz val="18"/>
      <color theme="1"/>
      <name val="Calibri"/>
      <family val="2"/>
      <scheme val="minor"/>
    </font>
    <font>
      <b/>
      <sz val="14"/>
      <color theme="1"/>
      <name val="Calibri"/>
      <family val="2"/>
      <scheme val="minor"/>
    </font>
    <font>
      <b/>
      <sz val="9"/>
      <color indexed="39"/>
      <name val="Tahoma"/>
      <family val="2"/>
    </font>
    <font>
      <b/>
      <sz val="9"/>
      <color indexed="17"/>
      <name val="Tahoma"/>
      <family val="2"/>
    </font>
    <font>
      <b/>
      <u/>
      <sz val="11"/>
      <color theme="1"/>
      <name val="Calibri"/>
      <family val="2"/>
      <scheme val="minor"/>
    </font>
    <font>
      <sz val="11"/>
      <color theme="5" tint="-0.249977111117893"/>
      <name val="Calibri"/>
      <family val="2"/>
      <scheme val="minor"/>
    </font>
    <font>
      <u/>
      <sz val="11"/>
      <color theme="1"/>
      <name val="Calibri"/>
      <family val="2"/>
      <scheme val="minor"/>
    </font>
    <font>
      <sz val="8"/>
      <color theme="1"/>
      <name val="Calibri"/>
      <family val="2"/>
      <scheme val="minor"/>
    </font>
    <font>
      <i/>
      <sz val="8"/>
      <color theme="1"/>
      <name val="Calibri"/>
      <family val="2"/>
      <scheme val="minor"/>
    </font>
    <font>
      <sz val="9"/>
      <color indexed="81"/>
      <name val="Tahoma"/>
      <family val="2"/>
    </font>
  </fonts>
  <fills count="16">
    <fill>
      <patternFill patternType="none"/>
    </fill>
    <fill>
      <patternFill patternType="gray125"/>
    </fill>
    <fill>
      <patternFill patternType="solid">
        <fgColor rgb="FFFF0000"/>
        <bgColor indexed="64"/>
      </patternFill>
    </fill>
    <fill>
      <patternFill patternType="solid">
        <fgColor theme="0" tint="-0.14996795556505021"/>
        <bgColor indexed="64"/>
      </patternFill>
    </fill>
    <fill>
      <patternFill patternType="solid">
        <fgColor rgb="FFCCFF99"/>
        <bgColor indexed="64"/>
      </patternFill>
    </fill>
    <fill>
      <patternFill patternType="solid">
        <fgColor theme="8" tint="0.59996337778862885"/>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2"/>
        <bgColor indexed="64"/>
      </patternFill>
    </fill>
    <fill>
      <patternFill patternType="solid">
        <fgColor rgb="FFFF7C80"/>
        <bgColor indexed="64"/>
      </patternFill>
    </fill>
    <fill>
      <patternFill patternType="solid">
        <fgColor theme="9" tint="-0.249977111117893"/>
        <bgColor indexed="64"/>
      </patternFill>
    </fill>
    <fill>
      <patternFill patternType="solid">
        <fgColor rgb="FFFFCCCC"/>
        <bgColor indexed="64"/>
      </patternFill>
    </fill>
    <fill>
      <patternFill patternType="solid">
        <fgColor theme="0" tint="-0.14999847407452621"/>
        <bgColor indexed="64"/>
      </patternFill>
    </fill>
    <fill>
      <patternFill patternType="solid">
        <fgColor rgb="FFCC99FF"/>
        <bgColor indexed="64"/>
      </patternFill>
    </fill>
    <fill>
      <patternFill patternType="solid">
        <fgColor theme="9" tint="0.59999389629810485"/>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ck">
        <color rgb="FFFF0000"/>
      </left>
      <right style="thick">
        <color rgb="FFFF0000"/>
      </right>
      <top style="thick">
        <color rgb="FFFF0000"/>
      </top>
      <bottom style="thick">
        <color rgb="FFFF0000"/>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auto="1"/>
      </left>
      <right/>
      <top/>
      <bottom style="thin">
        <color indexed="64"/>
      </bottom>
      <diagonal/>
    </border>
    <border>
      <left style="thick">
        <color rgb="FF00B050"/>
      </left>
      <right style="medium">
        <color indexed="64"/>
      </right>
      <top style="thick">
        <color rgb="FF00B050"/>
      </top>
      <bottom style="thick">
        <color rgb="FF00B050"/>
      </bottom>
      <diagonal/>
    </border>
    <border>
      <left style="thick">
        <color rgb="FF00B050"/>
      </left>
      <right style="medium">
        <color indexed="64"/>
      </right>
      <top style="thick">
        <color rgb="FF00B050"/>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ck">
        <color rgb="FFFF0000"/>
      </left>
      <right style="medium">
        <color indexed="64"/>
      </right>
      <top style="thick">
        <color rgb="FFFF0000"/>
      </top>
      <bottom style="thick">
        <color rgb="FFFF0000"/>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52">
    <xf numFmtId="0" fontId="0" fillId="0" borderId="0" xfId="0"/>
    <xf numFmtId="0" fontId="3" fillId="0" borderId="4" xfId="0" applyFont="1" applyFill="1" applyBorder="1"/>
    <xf numFmtId="0" fontId="0" fillId="0" borderId="0" xfId="0" applyFill="1" applyBorder="1"/>
    <xf numFmtId="0" fontId="7" fillId="0" borderId="0" xfId="0" applyFont="1" applyBorder="1" applyAlignment="1">
      <alignment horizontal="center"/>
    </xf>
    <xf numFmtId="0" fontId="0" fillId="0" borderId="0" xfId="0" applyBorder="1"/>
    <xf numFmtId="0" fontId="0" fillId="0" borderId="5" xfId="0" applyBorder="1"/>
    <xf numFmtId="0" fontId="7" fillId="0" borderId="4" xfId="0" applyFont="1" applyFill="1" applyBorder="1"/>
    <xf numFmtId="0" fontId="7" fillId="0" borderId="0" xfId="0" applyFont="1" applyBorder="1" applyAlignment="1">
      <alignment horizontal="right"/>
    </xf>
    <xf numFmtId="44" fontId="3" fillId="0" borderId="7" xfId="2" applyFont="1" applyFill="1" applyBorder="1"/>
    <xf numFmtId="0" fontId="7" fillId="0" borderId="0" xfId="0" applyFont="1" applyBorder="1" applyAlignment="1">
      <alignment horizontal="left"/>
    </xf>
    <xf numFmtId="0" fontId="5" fillId="0" borderId="0" xfId="0" applyFont="1" applyBorder="1" applyAlignment="1">
      <alignment horizontal="left"/>
    </xf>
    <xf numFmtId="0" fontId="5" fillId="0" borderId="0" xfId="0" applyFont="1" applyBorder="1" applyAlignment="1">
      <alignment horizontal="center"/>
    </xf>
    <xf numFmtId="0" fontId="0" fillId="0" borderId="4" xfId="0" applyFont="1" applyFill="1" applyBorder="1"/>
    <xf numFmtId="0" fontId="5" fillId="3" borderId="10" xfId="0" applyFont="1" applyFill="1" applyBorder="1" applyAlignment="1">
      <alignment horizontal="center"/>
    </xf>
    <xf numFmtId="0" fontId="5" fillId="3" borderId="11" xfId="0" applyFont="1" applyFill="1" applyBorder="1" applyAlignment="1">
      <alignment horizontal="center"/>
    </xf>
    <xf numFmtId="0" fontId="6" fillId="3" borderId="11" xfId="0" applyFont="1" applyFill="1" applyBorder="1" applyAlignment="1">
      <alignment horizontal="center"/>
    </xf>
    <xf numFmtId="0" fontId="0" fillId="0" borderId="13" xfId="0" applyBorder="1"/>
    <xf numFmtId="44" fontId="3" fillId="0" borderId="14" xfId="2" applyFont="1" applyFill="1" applyBorder="1"/>
    <xf numFmtId="0" fontId="7" fillId="0" borderId="13" xfId="0" applyFont="1" applyBorder="1" applyAlignment="1">
      <alignment horizontal="center"/>
    </xf>
    <xf numFmtId="0" fontId="3" fillId="7" borderId="4" xfId="0" applyFont="1" applyFill="1" applyBorder="1"/>
    <xf numFmtId="0" fontId="0" fillId="7" borderId="5" xfId="0" applyFill="1" applyBorder="1"/>
    <xf numFmtId="0" fontId="0" fillId="0" borderId="4" xfId="0" applyBorder="1"/>
    <xf numFmtId="44" fontId="0" fillId="0" borderId="15" xfId="2" applyFont="1" applyBorder="1" applyAlignment="1">
      <alignment horizontal="right"/>
    </xf>
    <xf numFmtId="0" fontId="0" fillId="0" borderId="9" xfId="0" applyBorder="1"/>
    <xf numFmtId="44" fontId="0" fillId="0" borderId="16" xfId="2" applyFont="1" applyBorder="1" applyAlignment="1">
      <alignment horizontal="right"/>
    </xf>
    <xf numFmtId="0" fontId="7" fillId="0" borderId="17" xfId="0" applyFont="1" applyBorder="1" applyAlignment="1">
      <alignment horizontal="center"/>
    </xf>
    <xf numFmtId="0" fontId="5" fillId="0" borderId="18"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0" fillId="0" borderId="18" xfId="0" applyBorder="1"/>
    <xf numFmtId="44" fontId="0" fillId="0" borderId="0" xfId="2" applyFont="1" applyFill="1" applyBorder="1"/>
    <xf numFmtId="44" fontId="0" fillId="0" borderId="18" xfId="2" applyFont="1" applyFill="1" applyBorder="1"/>
    <xf numFmtId="44" fontId="0" fillId="0" borderId="19" xfId="2" applyFont="1" applyFill="1" applyBorder="1"/>
    <xf numFmtId="44" fontId="0" fillId="0" borderId="13" xfId="2" applyFont="1" applyFill="1" applyBorder="1"/>
    <xf numFmtId="0" fontId="7" fillId="0" borderId="0" xfId="0" applyFont="1" applyFill="1" applyBorder="1" applyAlignment="1">
      <alignment horizontal="center"/>
    </xf>
    <xf numFmtId="0" fontId="0" fillId="0" borderId="13" xfId="0" applyFill="1" applyBorder="1"/>
    <xf numFmtId="166" fontId="0" fillId="0" borderId="0" xfId="1" applyNumberFormat="1" applyFont="1"/>
    <xf numFmtId="0" fontId="0" fillId="0" borderId="4" xfId="0" applyFont="1" applyBorder="1"/>
    <xf numFmtId="44" fontId="7" fillId="0" borderId="0" xfId="2" applyFont="1" applyBorder="1" applyAlignment="1">
      <alignment horizontal="center"/>
    </xf>
    <xf numFmtId="0" fontId="7" fillId="0" borderId="0" xfId="0" applyFont="1" applyBorder="1" applyAlignment="1">
      <alignment horizontal="right" wrapText="1"/>
    </xf>
    <xf numFmtId="0" fontId="7" fillId="0" borderId="0" xfId="0" applyFont="1" applyBorder="1" applyAlignment="1">
      <alignment horizontal="center" wrapText="1"/>
    </xf>
    <xf numFmtId="0" fontId="7" fillId="0" borderId="18" xfId="0" applyFont="1" applyBorder="1" applyAlignment="1">
      <alignment horizontal="center" wrapText="1"/>
    </xf>
    <xf numFmtId="164" fontId="0" fillId="0" borderId="0" xfId="0" applyNumberFormat="1"/>
    <xf numFmtId="0" fontId="0" fillId="0" borderId="0" xfId="0" applyFont="1" applyFill="1" applyBorder="1"/>
    <xf numFmtId="0" fontId="12" fillId="0" borderId="0" xfId="0" applyFont="1" applyBorder="1"/>
    <xf numFmtId="0" fontId="13" fillId="0" borderId="0" xfId="0" applyFont="1" applyBorder="1"/>
    <xf numFmtId="0" fontId="14" fillId="0" borderId="0" xfId="0" applyFont="1" applyFill="1" applyBorder="1"/>
    <xf numFmtId="0" fontId="15" fillId="0" borderId="0" xfId="0" applyFont="1" applyBorder="1"/>
    <xf numFmtId="0" fontId="2" fillId="0" borderId="0" xfId="0" applyFont="1" applyBorder="1"/>
    <xf numFmtId="2" fontId="0" fillId="0" borderId="0" xfId="0" applyNumberFormat="1"/>
    <xf numFmtId="44" fontId="1" fillId="12" borderId="8" xfId="2" applyFont="1" applyFill="1" applyBorder="1"/>
    <xf numFmtId="7" fontId="1" fillId="6" borderId="6" xfId="2" applyNumberFormat="1" applyFont="1" applyFill="1" applyBorder="1" applyAlignment="1">
      <alignment horizontal="center"/>
    </xf>
    <xf numFmtId="165" fontId="1" fillId="6" borderId="6" xfId="1" applyNumberFormat="1" applyFont="1" applyFill="1" applyBorder="1" applyAlignment="1">
      <alignment horizontal="center"/>
    </xf>
    <xf numFmtId="7" fontId="1" fillId="4" borderId="6" xfId="2" applyNumberFormat="1" applyFont="1" applyFill="1" applyBorder="1" applyAlignment="1">
      <alignment horizontal="center"/>
    </xf>
    <xf numFmtId="44" fontId="1" fillId="0" borderId="7" xfId="2" applyFont="1" applyFill="1" applyBorder="1"/>
    <xf numFmtId="165" fontId="1" fillId="4" borderId="6" xfId="1" applyNumberFormat="1" applyFont="1" applyFill="1" applyBorder="1" applyAlignment="1">
      <alignment horizontal="center"/>
    </xf>
    <xf numFmtId="7" fontId="1" fillId="5" borderId="6" xfId="2" applyNumberFormat="1" applyFont="1" applyFill="1" applyBorder="1" applyAlignment="1">
      <alignment horizontal="center"/>
    </xf>
    <xf numFmtId="165" fontId="1" fillId="5" borderId="6" xfId="1" applyNumberFormat="1" applyFont="1" applyFill="1" applyBorder="1" applyAlignment="1">
      <alignment horizontal="center"/>
    </xf>
    <xf numFmtId="7" fontId="1" fillId="10" borderId="6" xfId="2" applyNumberFormat="1" applyFont="1" applyFill="1" applyBorder="1" applyAlignment="1">
      <alignment horizontal="center"/>
    </xf>
    <xf numFmtId="165" fontId="1" fillId="10" borderId="6" xfId="1" applyNumberFormat="1" applyFont="1" applyFill="1" applyBorder="1" applyAlignment="1">
      <alignment horizontal="center"/>
    </xf>
    <xf numFmtId="44" fontId="1" fillId="0" borderId="14" xfId="2" applyFont="1" applyFill="1" applyBorder="1"/>
    <xf numFmtId="0" fontId="0" fillId="0" borderId="13" xfId="0" applyFont="1" applyFill="1" applyBorder="1"/>
    <xf numFmtId="0" fontId="5" fillId="3" borderId="20" xfId="0" applyFont="1" applyFill="1" applyBorder="1" applyAlignment="1">
      <alignment horizontal="center"/>
    </xf>
    <xf numFmtId="0" fontId="21" fillId="0" borderId="6" xfId="0" applyFont="1" applyFill="1" applyBorder="1"/>
    <xf numFmtId="0" fontId="0" fillId="0" borderId="6" xfId="0" applyFont="1" applyFill="1" applyBorder="1"/>
    <xf numFmtId="0" fontId="12" fillId="0" borderId="6" xfId="0" applyFont="1" applyBorder="1"/>
    <xf numFmtId="0" fontId="13" fillId="0" borderId="6" xfId="0" applyFont="1" applyBorder="1"/>
    <xf numFmtId="0" fontId="14" fillId="0" borderId="6" xfId="0" applyFont="1" applyFill="1" applyBorder="1"/>
    <xf numFmtId="0" fontId="2" fillId="0" borderId="6" xfId="0" applyFont="1" applyBorder="1"/>
    <xf numFmtId="0" fontId="3" fillId="0" borderId="6" xfId="0" applyFont="1" applyBorder="1"/>
    <xf numFmtId="167" fontId="0" fillId="0" borderId="0" xfId="0" applyNumberFormat="1"/>
    <xf numFmtId="43" fontId="1" fillId="6" borderId="6" xfId="1" applyNumberFormat="1" applyFont="1" applyFill="1" applyBorder="1" applyAlignment="1">
      <alignment horizontal="center"/>
    </xf>
    <xf numFmtId="43" fontId="1" fillId="4" borderId="6" xfId="1" applyNumberFormat="1" applyFont="1" applyFill="1" applyBorder="1" applyAlignment="1">
      <alignment horizontal="center"/>
    </xf>
    <xf numFmtId="43" fontId="1" fillId="5" borderId="6" xfId="1" applyNumberFormat="1" applyFont="1" applyFill="1" applyBorder="1" applyAlignment="1">
      <alignment horizontal="center"/>
    </xf>
    <xf numFmtId="43" fontId="1" fillId="10" borderId="6" xfId="1" applyNumberFormat="1" applyFont="1" applyFill="1" applyBorder="1" applyAlignment="1">
      <alignment horizontal="center"/>
    </xf>
    <xf numFmtId="0" fontId="0" fillId="0" borderId="7" xfId="0" applyFont="1" applyFill="1" applyBorder="1"/>
    <xf numFmtId="0" fontId="12" fillId="0" borderId="7" xfId="0" applyFont="1" applyBorder="1"/>
    <xf numFmtId="0" fontId="13" fillId="0" borderId="7" xfId="0" applyFont="1" applyBorder="1"/>
    <xf numFmtId="0" fontId="14" fillId="0" borderId="7" xfId="0" applyFont="1" applyFill="1" applyBorder="1"/>
    <xf numFmtId="0" fontId="15" fillId="0" borderId="7" xfId="0" applyFont="1" applyBorder="1"/>
    <xf numFmtId="0" fontId="2" fillId="0" borderId="7" xfId="0" applyFont="1" applyBorder="1"/>
    <xf numFmtId="0" fontId="2" fillId="0" borderId="14" xfId="0" applyFont="1" applyBorder="1"/>
    <xf numFmtId="0" fontId="3" fillId="0" borderId="21" xfId="0" applyFont="1" applyFill="1" applyBorder="1"/>
    <xf numFmtId="0" fontId="0" fillId="0" borderId="7" xfId="0" applyFont="1" applyBorder="1"/>
    <xf numFmtId="0" fontId="3" fillId="0" borderId="7" xfId="0" applyFont="1" applyFill="1" applyBorder="1"/>
    <xf numFmtId="0" fontId="7" fillId="0" borderId="7" xfId="0" applyFont="1" applyFill="1" applyBorder="1"/>
    <xf numFmtId="165" fontId="1" fillId="8" borderId="6" xfId="1" applyNumberFormat="1" applyFont="1" applyFill="1" applyBorder="1" applyAlignment="1">
      <alignment horizontal="center"/>
    </xf>
    <xf numFmtId="0" fontId="22" fillId="0" borderId="6" xfId="0" applyFont="1" applyBorder="1"/>
    <xf numFmtId="37" fontId="7" fillId="0" borderId="0" xfId="0" applyNumberFormat="1" applyFont="1" applyBorder="1" applyAlignment="1">
      <alignment horizontal="right"/>
    </xf>
    <xf numFmtId="7" fontId="0" fillId="0" borderId="0" xfId="0" applyNumberFormat="1"/>
    <xf numFmtId="44" fontId="1" fillId="6" borderId="6" xfId="2" applyFont="1" applyFill="1" applyBorder="1" applyAlignment="1">
      <alignment horizontal="center"/>
    </xf>
    <xf numFmtId="44" fontId="1" fillId="4" borderId="6" xfId="2" applyFont="1" applyFill="1" applyBorder="1" applyAlignment="1">
      <alignment horizontal="center"/>
    </xf>
    <xf numFmtId="44" fontId="1" fillId="5" borderId="6" xfId="2" applyFont="1" applyFill="1" applyBorder="1" applyAlignment="1">
      <alignment horizontal="center"/>
    </xf>
    <xf numFmtId="44" fontId="1" fillId="8" borderId="6" xfId="2" applyFont="1" applyFill="1" applyBorder="1" applyAlignment="1">
      <alignment horizontal="center"/>
    </xf>
    <xf numFmtId="44" fontId="1" fillId="10" borderId="6" xfId="2" applyFont="1" applyFill="1" applyBorder="1" applyAlignment="1">
      <alignment horizontal="center"/>
    </xf>
    <xf numFmtId="7" fontId="1" fillId="8" borderId="6" xfId="2" applyNumberFormat="1" applyFont="1" applyFill="1" applyBorder="1" applyAlignment="1">
      <alignment horizontal="center"/>
    </xf>
    <xf numFmtId="0" fontId="3" fillId="13" borderId="0" xfId="0" applyFont="1" applyFill="1" applyBorder="1"/>
    <xf numFmtId="0" fontId="0" fillId="13" borderId="0" xfId="0" applyFill="1"/>
    <xf numFmtId="37" fontId="0" fillId="0" borderId="6" xfId="0" applyNumberFormat="1" applyBorder="1"/>
    <xf numFmtId="0" fontId="3" fillId="0" borderId="6" xfId="0" applyFont="1" applyFill="1" applyBorder="1"/>
    <xf numFmtId="44" fontId="0" fillId="0" borderId="6" xfId="0" applyNumberFormat="1" applyBorder="1"/>
    <xf numFmtId="7" fontId="1" fillId="14" borderId="6" xfId="2" applyNumberFormat="1" applyFont="1" applyFill="1" applyBorder="1" applyAlignment="1">
      <alignment horizontal="center"/>
    </xf>
    <xf numFmtId="43" fontId="1" fillId="14" borderId="6" xfId="1" applyNumberFormat="1" applyFont="1" applyFill="1" applyBorder="1" applyAlignment="1">
      <alignment horizontal="center"/>
    </xf>
    <xf numFmtId="0" fontId="0" fillId="14" borderId="0" xfId="0" applyFont="1" applyFill="1" applyBorder="1"/>
    <xf numFmtId="43" fontId="1" fillId="8" borderId="6" xfId="1" applyNumberFormat="1" applyFont="1" applyFill="1" applyBorder="1" applyAlignment="1">
      <alignment horizontal="center"/>
    </xf>
    <xf numFmtId="0" fontId="0" fillId="8" borderId="0" xfId="0" applyFont="1" applyFill="1" applyBorder="1"/>
    <xf numFmtId="165" fontId="1" fillId="14" borderId="6" xfId="1" applyNumberFormat="1" applyFont="1" applyFill="1" applyBorder="1" applyAlignment="1">
      <alignment horizontal="center"/>
    </xf>
    <xf numFmtId="44" fontId="1" fillId="14" borderId="6" xfId="2" applyFont="1" applyFill="1" applyBorder="1" applyAlignment="1">
      <alignment horizontal="center"/>
    </xf>
    <xf numFmtId="0" fontId="24" fillId="0" borderId="0" xfId="0" applyFont="1"/>
    <xf numFmtId="0" fontId="25" fillId="0" borderId="4" xfId="0" applyFont="1" applyFill="1" applyBorder="1" applyAlignment="1">
      <alignment horizontal="right"/>
    </xf>
    <xf numFmtId="0" fontId="3" fillId="0" borderId="22" xfId="0" applyFont="1" applyBorder="1"/>
    <xf numFmtId="0" fontId="0" fillId="0" borderId="23" xfId="0" applyBorder="1"/>
    <xf numFmtId="0" fontId="0" fillId="0" borderId="24" xfId="0" applyBorder="1"/>
    <xf numFmtId="0" fontId="0" fillId="0" borderId="25" xfId="0" applyBorder="1"/>
    <xf numFmtId="0" fontId="0" fillId="0" borderId="26" xfId="0" applyBorder="1"/>
    <xf numFmtId="0" fontId="25" fillId="0" borderId="4" xfId="0" applyFont="1" applyBorder="1"/>
    <xf numFmtId="0" fontId="23" fillId="0" borderId="5" xfId="0" applyFont="1" applyBorder="1"/>
    <xf numFmtId="0" fontId="6" fillId="3" borderId="11" xfId="0" applyFont="1" applyFill="1" applyBorder="1" applyAlignment="1">
      <alignment horizontal="center"/>
    </xf>
    <xf numFmtId="44" fontId="0" fillId="15" borderId="26" xfId="2" applyFont="1" applyFill="1" applyBorder="1"/>
    <xf numFmtId="44" fontId="0" fillId="15" borderId="5" xfId="2" applyFont="1" applyFill="1" applyBorder="1"/>
    <xf numFmtId="0" fontId="18" fillId="15" borderId="22" xfId="0" applyFont="1" applyFill="1" applyBorder="1"/>
    <xf numFmtId="0" fontId="0" fillId="15" borderId="23" xfId="0" applyFill="1" applyBorder="1"/>
    <xf numFmtId="0" fontId="0" fillId="15" borderId="24" xfId="0" applyFill="1" applyBorder="1"/>
    <xf numFmtId="0" fontId="0" fillId="15" borderId="4" xfId="0" applyFill="1" applyBorder="1"/>
    <xf numFmtId="0" fontId="0" fillId="15" borderId="0" xfId="0" applyFill="1" applyBorder="1"/>
    <xf numFmtId="0" fontId="0" fillId="15" borderId="5" xfId="0" applyFill="1" applyBorder="1"/>
    <xf numFmtId="0" fontId="5" fillId="15" borderId="9" xfId="0" applyFont="1" applyFill="1" applyBorder="1"/>
    <xf numFmtId="0" fontId="0" fillId="15" borderId="25" xfId="0" applyFill="1" applyBorder="1"/>
    <xf numFmtId="0" fontId="0" fillId="15" borderId="26" xfId="0" applyFill="1" applyBorder="1"/>
    <xf numFmtId="37" fontId="3" fillId="12" borderId="8" xfId="2" applyNumberFormat="1" applyFont="1" applyFill="1" applyBorder="1" applyProtection="1">
      <protection locked="0"/>
    </xf>
    <xf numFmtId="44" fontId="3" fillId="12" borderId="8" xfId="2" applyFont="1" applyFill="1" applyBorder="1" applyProtection="1">
      <protection locked="0"/>
    </xf>
    <xf numFmtId="44" fontId="0" fillId="12" borderId="8" xfId="2" applyFont="1" applyFill="1" applyBorder="1" applyProtection="1">
      <protection locked="0"/>
    </xf>
    <xf numFmtId="166" fontId="0" fillId="12" borderId="8" xfId="1" applyNumberFormat="1" applyFont="1" applyFill="1" applyBorder="1" applyProtection="1">
      <protection locked="0"/>
    </xf>
    <xf numFmtId="44" fontId="1" fillId="12" borderId="8" xfId="2" applyFont="1" applyFill="1" applyBorder="1" applyProtection="1">
      <protection locked="0"/>
    </xf>
    <xf numFmtId="44" fontId="3" fillId="12" borderId="27" xfId="2" applyFont="1" applyFill="1" applyBorder="1" applyProtection="1">
      <protection locked="0"/>
    </xf>
    <xf numFmtId="0" fontId="4" fillId="2" borderId="1" xfId="0" applyFont="1" applyFill="1" applyBorder="1" applyAlignment="1"/>
    <xf numFmtId="0" fontId="0" fillId="0" borderId="2" xfId="0" applyBorder="1" applyAlignment="1"/>
    <xf numFmtId="0" fontId="0" fillId="0" borderId="3" xfId="0" applyBorder="1" applyAlignment="1"/>
    <xf numFmtId="0" fontId="6" fillId="3" borderId="11" xfId="0" applyFont="1" applyFill="1" applyBorder="1" applyAlignment="1">
      <alignment horizontal="center"/>
    </xf>
    <xf numFmtId="0" fontId="0" fillId="0" borderId="20" xfId="0" applyBorder="1" applyAlignment="1"/>
    <xf numFmtId="0" fontId="18" fillId="9" borderId="10" xfId="0" applyFont="1" applyFill="1" applyBorder="1" applyAlignment="1"/>
    <xf numFmtId="0" fontId="0" fillId="9" borderId="12" xfId="0" applyFill="1" applyBorder="1" applyAlignment="1"/>
    <xf numFmtId="0" fontId="16" fillId="0" borderId="0" xfId="0" applyFont="1" applyAlignment="1">
      <alignment horizontal="center"/>
    </xf>
    <xf numFmtId="0" fontId="17" fillId="0" borderId="0" xfId="0" applyFont="1" applyAlignment="1">
      <alignment horizontal="center"/>
    </xf>
    <xf numFmtId="0" fontId="0" fillId="0" borderId="0" xfId="0" applyAlignment="1">
      <alignment horizontal="center"/>
    </xf>
    <xf numFmtId="0" fontId="7" fillId="9" borderId="0" xfId="0" applyFont="1" applyFill="1" applyBorder="1" applyAlignment="1">
      <alignment horizontal="center"/>
    </xf>
    <xf numFmtId="0" fontId="0" fillId="9" borderId="0" xfId="0" applyFont="1" applyFill="1" applyAlignment="1">
      <alignment horizontal="center"/>
    </xf>
    <xf numFmtId="0" fontId="7" fillId="9" borderId="0" xfId="0" applyFont="1" applyFill="1" applyBorder="1" applyAlignment="1">
      <alignment horizontal="left"/>
    </xf>
    <xf numFmtId="0" fontId="0" fillId="9" borderId="18" xfId="0" applyFill="1" applyBorder="1" applyAlignment="1">
      <alignment horizontal="left"/>
    </xf>
    <xf numFmtId="0" fontId="4" fillId="11" borderId="1" xfId="0" applyFont="1" applyFill="1" applyBorder="1" applyAlignment="1"/>
    <xf numFmtId="0" fontId="0" fillId="11" borderId="2" xfId="0" applyFill="1" applyBorder="1" applyAlignment="1"/>
    <xf numFmtId="0" fontId="0" fillId="11" borderId="3" xfId="0" applyFill="1" applyBorder="1" applyAlignment="1"/>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CC99FF"/>
      <color rgb="FFCCCCFF"/>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solidFill>
                  <a:sysClr val="windowText" lastClr="000000"/>
                </a:solidFill>
              </a:rPr>
              <a:t>Effects</a:t>
            </a:r>
            <a:r>
              <a:rPr lang="en-US" b="1" baseline="0">
                <a:solidFill>
                  <a:sysClr val="windowText" lastClr="000000"/>
                </a:solidFill>
              </a:rPr>
              <a:t> of Sanitation on Sap Yield</a:t>
            </a:r>
            <a:endParaRPr lang="en-US" b="1">
              <a:solidFill>
                <a:sysClr val="windowText" lastClr="000000"/>
              </a:solidFill>
            </a:endParaRPr>
          </a:p>
        </c:rich>
      </c:tx>
      <c:layout>
        <c:manualLayout>
          <c:xMode val="edge"/>
          <c:yMode val="edge"/>
          <c:x val="0.29855077302616323"/>
          <c:y val="2.7072758037225041E-2"/>
        </c:manualLayout>
      </c:layout>
      <c:overlay val="1"/>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6858923884514433E-2"/>
          <c:y val="0.11860772479582184"/>
          <c:w val="0.86645931758530192"/>
          <c:h val="0.77399283211425984"/>
        </c:manualLayout>
      </c:layout>
      <c:scatterChart>
        <c:scatterStyle val="smoothMarker"/>
        <c:varyColors val="0"/>
        <c:ser>
          <c:idx val="0"/>
          <c:order val="0"/>
          <c:tx>
            <c:v>No Sanitation</c:v>
          </c:tx>
          <c:spPr>
            <a:ln w="19050" cap="rnd">
              <a:solidFill>
                <a:schemeClr val="tx1"/>
              </a:solidFill>
              <a:round/>
            </a:ln>
            <a:effectLst/>
          </c:spPr>
          <c:marker>
            <c:symbol val="none"/>
          </c:marker>
          <c:xVal>
            <c:numRef>
              <c:f>'Tabular Results'!$C$6:$L$6</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'Tabular Results'!$C$7:$L$7</c:f>
              <c:numCache>
                <c:formatCode>_(* #,##0.0_);_(* \(#,##0.0\);_(* "-"??_);_(@_)</c:formatCode>
                <c:ptCount val="10"/>
                <c:pt idx="0">
                  <c:v>20.003999999999998</c:v>
                </c:pt>
                <c:pt idx="1">
                  <c:v>17.081144517803708</c:v>
                </c:pt>
                <c:pt idx="2">
                  <c:v>15.574519576590012</c:v>
                </c:pt>
                <c:pt idx="3">
                  <c:v>14.587287939383902</c:v>
                </c:pt>
                <c:pt idx="4">
                  <c:v>13.865087677871722</c:v>
                </c:pt>
                <c:pt idx="5">
                  <c:v>13.301796219473816</c:v>
                </c:pt>
                <c:pt idx="6">
                  <c:v>12.843548898221663</c:v>
                </c:pt>
                <c:pt idx="7">
                  <c:v>12.459464421727663</c:v>
                </c:pt>
                <c:pt idx="8">
                  <c:v>12.130290575364027</c:v>
                </c:pt>
                <c:pt idx="9">
                  <c:v>11.843264310542107</c:v>
                </c:pt>
              </c:numCache>
            </c:numRef>
          </c:yVal>
          <c:smooth val="1"/>
          <c:extLst>
            <c:ext xmlns:c16="http://schemas.microsoft.com/office/drawing/2014/chart" uri="{C3380CC4-5D6E-409C-BE32-E72D297353CC}">
              <c16:uniqueId val="{00000000-1049-4621-AB40-6222396B915E}"/>
            </c:ext>
          </c:extLst>
        </c:ser>
        <c:ser>
          <c:idx val="1"/>
          <c:order val="1"/>
          <c:tx>
            <c:strRef>
              <c:f>'Tabular Results'!$B$8</c:f>
              <c:strCache>
                <c:ptCount val="1"/>
                <c:pt idx="0">
                  <c:v>Spout Replacement</c:v>
                </c:pt>
              </c:strCache>
            </c:strRef>
          </c:tx>
          <c:spPr>
            <a:ln w="19050" cap="rnd">
              <a:solidFill>
                <a:schemeClr val="accent6">
                  <a:lumMod val="60000"/>
                  <a:lumOff val="40000"/>
                </a:schemeClr>
              </a:solidFill>
              <a:round/>
            </a:ln>
            <a:effectLst/>
          </c:spPr>
          <c:marker>
            <c:symbol val="none"/>
          </c:marker>
          <c:xVal>
            <c:numRef>
              <c:f>'Tabular Results'!$C$6:$L$6</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'Tabular Results'!$C$8:$L$8</c:f>
              <c:numCache>
                <c:formatCode>_(* #,##0.0_);_(* \(#,##0.0\);_(* "-"??_);_(@_)</c:formatCode>
                <c:ptCount val="10"/>
                <c:pt idx="0">
                  <c:v>20.560500000000005</c:v>
                </c:pt>
                <c:pt idx="1">
                  <c:v>17.902545557680209</c:v>
                </c:pt>
                <c:pt idx="2">
                  <c:v>16.776110181674934</c:v>
                </c:pt>
                <c:pt idx="3">
                  <c:v>16.018753822383584</c:v>
                </c:pt>
                <c:pt idx="4">
                  <c:v>15.454123486403919</c:v>
                </c:pt>
                <c:pt idx="5">
                  <c:v>15.007065745231561</c:v>
                </c:pt>
                <c:pt idx="6">
                  <c:v>14.638816386067719</c:v>
                </c:pt>
                <c:pt idx="7">
                  <c:v>14.326859481142479</c:v>
                </c:pt>
                <c:pt idx="8">
                  <c:v>14.057002566395042</c:v>
                </c:pt>
                <c:pt idx="9">
                  <c:v>13.819746697686812</c:v>
                </c:pt>
              </c:numCache>
            </c:numRef>
          </c:yVal>
          <c:smooth val="1"/>
          <c:extLst>
            <c:ext xmlns:c16="http://schemas.microsoft.com/office/drawing/2014/chart" uri="{C3380CC4-5D6E-409C-BE32-E72D297353CC}">
              <c16:uniqueId val="{00000001-1049-4621-AB40-6222396B915E}"/>
            </c:ext>
          </c:extLst>
        </c:ser>
        <c:ser>
          <c:idx val="2"/>
          <c:order val="2"/>
          <c:tx>
            <c:strRef>
              <c:f>'Tabular Results'!$B$9</c:f>
              <c:strCache>
                <c:ptCount val="1"/>
                <c:pt idx="0">
                  <c:v>Check-Valve Use</c:v>
                </c:pt>
              </c:strCache>
            </c:strRef>
          </c:tx>
          <c:spPr>
            <a:ln w="19050" cap="rnd">
              <a:solidFill>
                <a:srgbClr val="0070C0"/>
              </a:solidFill>
              <a:round/>
            </a:ln>
            <a:effectLst/>
          </c:spPr>
          <c:marker>
            <c:symbol val="none"/>
          </c:marker>
          <c:xVal>
            <c:numRef>
              <c:f>'Tabular Results'!$C$6:$L$6</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'Tabular Results'!$C$9:$L$9</c:f>
              <c:numCache>
                <c:formatCode>_(* #,##0.0_);_(* \(#,##0.0\);_(* "-"??_);_(@_)</c:formatCode>
                <c:ptCount val="10"/>
                <c:pt idx="0">
                  <c:v>20.028000000000002</c:v>
                </c:pt>
                <c:pt idx="1">
                  <c:v>19.089149671190249</c:v>
                </c:pt>
                <c:pt idx="2">
                  <c:v>18.576747265094898</c:v>
                </c:pt>
                <c:pt idx="3">
                  <c:v>18.221542048600668</c:v>
                </c:pt>
                <c:pt idx="4">
                  <c:v>17.950699890356315</c:v>
                </c:pt>
                <c:pt idx="5">
                  <c:v>17.732391944046295</c:v>
                </c:pt>
                <c:pt idx="6">
                  <c:v>17.549884363077556</c:v>
                </c:pt>
                <c:pt idx="7">
                  <c:v>17.393305580048857</c:v>
                </c:pt>
                <c:pt idx="8">
                  <c:v>17.256351297539265</c:v>
                </c:pt>
                <c:pt idx="9">
                  <c:v>17.134753964273841</c:v>
                </c:pt>
              </c:numCache>
            </c:numRef>
          </c:yVal>
          <c:smooth val="1"/>
          <c:extLst>
            <c:ext xmlns:c16="http://schemas.microsoft.com/office/drawing/2014/chart" uri="{C3380CC4-5D6E-409C-BE32-E72D297353CC}">
              <c16:uniqueId val="{00000002-1049-4621-AB40-6222396B915E}"/>
            </c:ext>
          </c:extLst>
        </c:ser>
        <c:ser>
          <c:idx val="3"/>
          <c:order val="3"/>
          <c:tx>
            <c:strRef>
              <c:f>'Tabular Results'!$B$10</c:f>
              <c:strCache>
                <c:ptCount val="1"/>
                <c:pt idx="0">
                  <c:v>Sanitizer - Low Clean</c:v>
                </c:pt>
              </c:strCache>
            </c:strRef>
          </c:tx>
          <c:spPr>
            <a:ln w="19050" cap="rnd">
              <a:solidFill>
                <a:srgbClr val="CC99FF"/>
              </a:solidFill>
              <a:round/>
            </a:ln>
            <a:effectLst/>
          </c:spPr>
          <c:marker>
            <c:symbol val="none"/>
          </c:marker>
          <c:xVal>
            <c:numRef>
              <c:f>'Tabular Results'!$C$6:$L$6</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'Tabular Results'!$C$10:$L$10</c:f>
              <c:numCache>
                <c:formatCode>_(* #,##0.0_);_(* \(#,##0.0\);_(* "-"??_);_(@_)</c:formatCode>
                <c:ptCount val="10"/>
                <c:pt idx="0">
                  <c:v>20.488</c:v>
                </c:pt>
                <c:pt idx="1">
                  <c:v>17.695381077977469</c:v>
                </c:pt>
                <c:pt idx="2">
                  <c:v>16.470346070338834</c:v>
                </c:pt>
                <c:pt idx="3">
                  <c:v>15.651550417379005</c:v>
                </c:pt>
                <c:pt idx="4">
                  <c:v>15.043764785348598</c:v>
                </c:pt>
                <c:pt idx="5">
                  <c:v>14.564195456046926</c:v>
                </c:pt>
                <c:pt idx="6">
                  <c:v>14.170294768669082</c:v>
                </c:pt>
                <c:pt idx="7">
                  <c:v>13.8374231515728</c:v>
                </c:pt>
                <c:pt idx="8">
                  <c:v>13.550088775168783</c:v>
                </c:pt>
                <c:pt idx="9">
                  <c:v>13.297945733953101</c:v>
                </c:pt>
              </c:numCache>
            </c:numRef>
          </c:yVal>
          <c:smooth val="1"/>
          <c:extLst>
            <c:ext xmlns:c16="http://schemas.microsoft.com/office/drawing/2014/chart" uri="{C3380CC4-5D6E-409C-BE32-E72D297353CC}">
              <c16:uniqueId val="{00000003-1049-4621-AB40-6222396B915E}"/>
            </c:ext>
          </c:extLst>
        </c:ser>
        <c:ser>
          <c:idx val="4"/>
          <c:order val="4"/>
          <c:tx>
            <c:strRef>
              <c:f>'Tabular Results'!$B$11</c:f>
              <c:strCache>
                <c:ptCount val="1"/>
                <c:pt idx="0">
                  <c:v>Sanitizer - Max Clean</c:v>
                </c:pt>
              </c:strCache>
            </c:strRef>
          </c:tx>
          <c:spPr>
            <a:ln w="19050" cap="rnd">
              <a:solidFill>
                <a:srgbClr val="FFC000"/>
              </a:solidFill>
              <a:round/>
            </a:ln>
            <a:effectLst/>
          </c:spPr>
          <c:marker>
            <c:symbol val="none"/>
          </c:marker>
          <c:xVal>
            <c:numRef>
              <c:f>'Tabular Results'!$C$6:$L$6</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'Tabular Results'!$C$11:$L$11</c:f>
              <c:numCache>
                <c:formatCode>_(* #,##0.0_);_(* \(#,##0.0\);_(* "-"??_);_(@_)</c:formatCode>
                <c:ptCount val="10"/>
                <c:pt idx="0">
                  <c:v>20</c:v>
                </c:pt>
                <c:pt idx="1">
                  <c:v>19.251888862035031</c:v>
                </c:pt>
                <c:pt idx="2">
                  <c:v>18.827312303636266</c:v>
                </c:pt>
                <c:pt idx="3">
                  <c:v>18.531761237807416</c:v>
                </c:pt>
                <c:pt idx="4">
                  <c:v>18.305712843490465</c:v>
                </c:pt>
                <c:pt idx="5">
                  <c:v>18.123066202021501</c:v>
                </c:pt>
                <c:pt idx="6">
                  <c:v>17.970063156762826</c:v>
                </c:pt>
                <c:pt idx="7">
                  <c:v>17.838570388401852</c:v>
                </c:pt>
                <c:pt idx="8">
                  <c:v>17.723384428932675</c:v>
                </c:pt>
                <c:pt idx="9">
                  <c:v>17.62097746016028</c:v>
                </c:pt>
              </c:numCache>
            </c:numRef>
          </c:yVal>
          <c:smooth val="1"/>
          <c:extLst>
            <c:ext xmlns:c16="http://schemas.microsoft.com/office/drawing/2014/chart" uri="{C3380CC4-5D6E-409C-BE32-E72D297353CC}">
              <c16:uniqueId val="{00000004-1049-4621-AB40-6222396B915E}"/>
            </c:ext>
          </c:extLst>
        </c:ser>
        <c:ser>
          <c:idx val="5"/>
          <c:order val="5"/>
          <c:tx>
            <c:strRef>
              <c:f>'Tabular Results'!$B$12</c:f>
              <c:strCache>
                <c:ptCount val="1"/>
                <c:pt idx="0">
                  <c:v>Drop Replacement (Annual)</c:v>
                </c:pt>
              </c:strCache>
            </c:strRef>
          </c:tx>
          <c:spPr>
            <a:ln w="19050" cap="rnd">
              <a:solidFill>
                <a:srgbClr val="FF0000"/>
              </a:solidFill>
              <a:round/>
            </a:ln>
            <a:effectLst/>
          </c:spPr>
          <c:marker>
            <c:symbol val="none"/>
          </c:marker>
          <c:xVal>
            <c:numRef>
              <c:f>'Tabular Results'!$C$6:$L$6</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'Tabular Results'!$C$12:$L$12</c:f>
              <c:numCache>
                <c:formatCode>_(* #,##0.0_);_(* \(#,##0.0\);_(* "-"??_);_(@_)</c:formatCode>
                <c:ptCount val="10"/>
                <c:pt idx="0">
                  <c:v>20.077999999999999</c:v>
                </c:pt>
                <c:pt idx="1">
                  <c:v>19.612080842082136</c:v>
                </c:pt>
                <c:pt idx="2">
                  <c:v>19.389780473142661</c:v>
                </c:pt>
                <c:pt idx="3">
                  <c:v>19.233579434759349</c:v>
                </c:pt>
                <c:pt idx="4">
                  <c:v>19.113284010469666</c:v>
                </c:pt>
                <c:pt idx="5">
                  <c:v>19.015551900324606</c:v>
                </c:pt>
                <c:pt idx="6">
                  <c:v>18.933308932737013</c:v>
                </c:pt>
                <c:pt idx="7">
                  <c:v>18.862353201477045</c:v>
                </c:pt>
                <c:pt idx="8">
                  <c:v>18.799985639623831</c:v>
                </c:pt>
                <c:pt idx="9">
                  <c:v>18.744369975057822</c:v>
                </c:pt>
              </c:numCache>
            </c:numRef>
          </c:yVal>
          <c:smooth val="1"/>
          <c:extLst>
            <c:ext xmlns:c16="http://schemas.microsoft.com/office/drawing/2014/chart" uri="{C3380CC4-5D6E-409C-BE32-E72D297353CC}">
              <c16:uniqueId val="{00000005-1049-4621-AB40-6222396B915E}"/>
            </c:ext>
          </c:extLst>
        </c:ser>
        <c:dLbls>
          <c:showLegendKey val="0"/>
          <c:showVal val="0"/>
          <c:showCatName val="0"/>
          <c:showSerName val="0"/>
          <c:showPercent val="0"/>
          <c:showBubbleSize val="0"/>
        </c:dLbls>
        <c:axId val="1525625776"/>
        <c:axId val="1427975872"/>
      </c:scatterChart>
      <c:valAx>
        <c:axId val="1525625776"/>
        <c:scaling>
          <c:orientation val="minMax"/>
          <c:max val="10"/>
          <c:min val="1"/>
        </c:scaling>
        <c:delete val="0"/>
        <c:axPos val="b"/>
        <c:majorGridlines>
          <c:spPr>
            <a:ln w="9525" cap="flat" cmpd="sng" algn="ctr">
              <a:solidFill>
                <a:schemeClr val="tx1">
                  <a:lumMod val="15000"/>
                  <a:lumOff val="85000"/>
                </a:schemeClr>
              </a:solidFill>
              <a:prstDash val="dash"/>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Year</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427975872"/>
        <c:crosses val="autoZero"/>
        <c:crossBetween val="midCat"/>
        <c:majorUnit val="1"/>
      </c:valAx>
      <c:valAx>
        <c:axId val="1427975872"/>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Sap Yield (gal/tap)</a:t>
                </a:r>
              </a:p>
            </c:rich>
          </c:tx>
          <c:layout>
            <c:manualLayout>
              <c:xMode val="edge"/>
              <c:yMode val="edge"/>
              <c:x val="9.264999118926389E-3"/>
              <c:y val="0.3330828570286581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525625776"/>
        <c:crosses val="autoZero"/>
        <c:crossBetween val="midCat"/>
      </c:valAx>
      <c:spPr>
        <a:solidFill>
          <a:schemeClr val="bg1">
            <a:lumMod val="95000"/>
          </a:schemeClr>
        </a:solidFill>
        <a:ln>
          <a:solidFill>
            <a:schemeClr val="tx1"/>
          </a:solidFill>
        </a:ln>
        <a:effectLst/>
      </c:spPr>
    </c:plotArea>
    <c:legend>
      <c:legendPos val="r"/>
      <c:layout>
        <c:manualLayout>
          <c:xMode val="edge"/>
          <c:yMode val="edge"/>
          <c:x val="0.10098490813648295"/>
          <c:y val="0.5937583436588193"/>
          <c:w val="0.30814260408261684"/>
          <c:h val="0.2916615372317039"/>
        </c:manualLayout>
      </c:layout>
      <c:overlay val="0"/>
      <c:spPr>
        <a:solidFill>
          <a:schemeClr val="bg1"/>
        </a:solidFill>
        <a:ln>
          <a:solidFill>
            <a:schemeClr val="tx1"/>
          </a:solid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solidFill>
                  <a:sysClr val="windowText" lastClr="000000"/>
                </a:solidFill>
              </a:rPr>
              <a:t>Effects</a:t>
            </a:r>
            <a:r>
              <a:rPr lang="en-US" b="1" baseline="0">
                <a:solidFill>
                  <a:sysClr val="windowText" lastClr="000000"/>
                </a:solidFill>
              </a:rPr>
              <a:t> of Sanitation Strategy on Net Profit (10 Yr Average)</a:t>
            </a:r>
            <a:endParaRPr lang="en-US" b="1">
              <a:solidFill>
                <a:sysClr val="windowText" lastClr="000000"/>
              </a:solidFill>
            </a:endParaRPr>
          </a:p>
        </c:rich>
      </c:tx>
      <c:layout>
        <c:manualLayout>
          <c:xMode val="edge"/>
          <c:yMode val="edge"/>
          <c:x val="0.17543290043290041"/>
          <c:y val="3.7225042301184431E-2"/>
        </c:manualLayout>
      </c:layout>
      <c:overlay val="1"/>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3404505532214833"/>
          <c:y val="0.12537591430512809"/>
          <c:w val="0.8525138421301578"/>
          <c:h val="0.69287581438107038"/>
        </c:manualLayout>
      </c:layout>
      <c:barChart>
        <c:barDir val="col"/>
        <c:grouping val="clustered"/>
        <c:varyColors val="0"/>
        <c:ser>
          <c:idx val="0"/>
          <c:order val="0"/>
          <c:spPr>
            <a:solidFill>
              <a:schemeClr val="accent1"/>
            </a:solidFill>
            <a:ln>
              <a:solidFill>
                <a:schemeClr val="tx1"/>
              </a:solidFill>
            </a:ln>
            <a:effectLst/>
          </c:spPr>
          <c:invertIfNegative val="0"/>
          <c:dPt>
            <c:idx val="1"/>
            <c:invertIfNegative val="0"/>
            <c:bubble3D val="0"/>
            <c:spPr>
              <a:solidFill>
                <a:srgbClr val="92D050"/>
              </a:solidFill>
              <a:ln>
                <a:solidFill>
                  <a:schemeClr val="tx1"/>
                </a:solidFill>
              </a:ln>
              <a:effectLst/>
            </c:spPr>
            <c:extLst>
              <c:ext xmlns:c16="http://schemas.microsoft.com/office/drawing/2014/chart" uri="{C3380CC4-5D6E-409C-BE32-E72D297353CC}">
                <c16:uniqueId val="{00000007-EF8A-42B4-9F41-0AC0462DA597}"/>
              </c:ext>
            </c:extLst>
          </c:dPt>
          <c:dPt>
            <c:idx val="3"/>
            <c:invertIfNegative val="0"/>
            <c:bubble3D val="0"/>
            <c:spPr>
              <a:solidFill>
                <a:srgbClr val="CC99FF"/>
              </a:solidFill>
              <a:ln>
                <a:solidFill>
                  <a:schemeClr val="tx1"/>
                </a:solidFill>
              </a:ln>
              <a:effectLst/>
            </c:spPr>
            <c:extLst>
              <c:ext xmlns:c16="http://schemas.microsoft.com/office/drawing/2014/chart" uri="{C3380CC4-5D6E-409C-BE32-E72D297353CC}">
                <c16:uniqueId val="{00000008-EF8A-42B4-9F41-0AC0462DA597}"/>
              </c:ext>
            </c:extLst>
          </c:dPt>
          <c:dPt>
            <c:idx val="4"/>
            <c:invertIfNegative val="0"/>
            <c:bubble3D val="0"/>
            <c:spPr>
              <a:solidFill>
                <a:srgbClr val="FFC000"/>
              </a:solidFill>
              <a:ln>
                <a:solidFill>
                  <a:schemeClr val="tx1"/>
                </a:solidFill>
              </a:ln>
              <a:effectLst/>
            </c:spPr>
            <c:extLst>
              <c:ext xmlns:c16="http://schemas.microsoft.com/office/drawing/2014/chart" uri="{C3380CC4-5D6E-409C-BE32-E72D297353CC}">
                <c16:uniqueId val="{00000009-EF8A-42B4-9F41-0AC0462DA597}"/>
              </c:ext>
            </c:extLst>
          </c:dPt>
          <c:dPt>
            <c:idx val="5"/>
            <c:invertIfNegative val="0"/>
            <c:bubble3D val="0"/>
            <c:spPr>
              <a:solidFill>
                <a:srgbClr val="FF0000"/>
              </a:solidFill>
              <a:ln>
                <a:solidFill>
                  <a:schemeClr val="tx1"/>
                </a:solidFill>
              </a:ln>
              <a:effectLst/>
            </c:spPr>
            <c:extLst>
              <c:ext xmlns:c16="http://schemas.microsoft.com/office/drawing/2014/chart" uri="{C3380CC4-5D6E-409C-BE32-E72D297353CC}">
                <c16:uniqueId val="{0000000A-EF8A-42B4-9F41-0AC0462DA597}"/>
              </c:ext>
            </c:extLst>
          </c:dPt>
          <c:dPt>
            <c:idx val="6"/>
            <c:invertIfNegative val="0"/>
            <c:bubble3D val="0"/>
            <c:spPr>
              <a:solidFill>
                <a:srgbClr val="FF0000"/>
              </a:solidFill>
              <a:ln>
                <a:solidFill>
                  <a:schemeClr val="tx1"/>
                </a:solidFill>
              </a:ln>
              <a:effectLst/>
            </c:spPr>
            <c:extLst>
              <c:ext xmlns:c16="http://schemas.microsoft.com/office/drawing/2014/chart" uri="{C3380CC4-5D6E-409C-BE32-E72D297353CC}">
                <c16:uniqueId val="{0000000B-EF8A-42B4-9F41-0AC0462DA59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'Tabular Results'!$B$18:$B$24</c:f>
              <c:strCache>
                <c:ptCount val="7"/>
                <c:pt idx="0">
                  <c:v>No Sanitation</c:v>
                </c:pt>
                <c:pt idx="1">
                  <c:v>Spout Replacement</c:v>
                </c:pt>
                <c:pt idx="2">
                  <c:v>Check-Valve Use</c:v>
                </c:pt>
                <c:pt idx="3">
                  <c:v>Sanitizer - Low Clean</c:v>
                </c:pt>
                <c:pt idx="4">
                  <c:v>Sanitizer - Max Clean</c:v>
                </c:pt>
                <c:pt idx="5">
                  <c:v>Drop Replacement (Annual)</c:v>
                </c:pt>
                <c:pt idx="6">
                  <c:v>Drop Replacement (3 Yr Interval)</c:v>
                </c:pt>
              </c:strCache>
            </c:strRef>
          </c:cat>
          <c:val>
            <c:numRef>
              <c:f>'Tabular Results'!$M$29:$M$35</c:f>
              <c:numCache>
                <c:formatCode>_("$"* #,##0.00_);_("$"* \(#,##0.00\);_("$"* "-"??_);_(@_)</c:formatCode>
                <c:ptCount val="7"/>
                <c:pt idx="0">
                  <c:v>0</c:v>
                </c:pt>
                <c:pt idx="1">
                  <c:v>0.5784271091720703</c:v>
                </c:pt>
                <c:pt idx="2">
                  <c:v>1.4993635162497152</c:v>
                </c:pt>
                <c:pt idx="3">
                  <c:v>-0.14332544226005811</c:v>
                </c:pt>
                <c:pt idx="4">
                  <c:v>1.2322856367264206</c:v>
                </c:pt>
                <c:pt idx="5">
                  <c:v>0.98601973724080416</c:v>
                </c:pt>
                <c:pt idx="6">
                  <c:v>1.5597297987186305</c:v>
                </c:pt>
              </c:numCache>
            </c:numRef>
          </c:val>
          <c:extLst>
            <c:ext xmlns:c16="http://schemas.microsoft.com/office/drawing/2014/chart" uri="{C3380CC4-5D6E-409C-BE32-E72D297353CC}">
              <c16:uniqueId val="{00000000-EF8A-42B4-9F41-0AC0462DA597}"/>
            </c:ext>
          </c:extLst>
        </c:ser>
        <c:dLbls>
          <c:showLegendKey val="0"/>
          <c:showVal val="0"/>
          <c:showCatName val="0"/>
          <c:showSerName val="0"/>
          <c:showPercent val="0"/>
          <c:showBubbleSize val="0"/>
        </c:dLbls>
        <c:gapWidth val="50"/>
        <c:axId val="1525625776"/>
        <c:axId val="1427975872"/>
      </c:barChart>
      <c:catAx>
        <c:axId val="1525625776"/>
        <c:scaling>
          <c:orientation val="minMax"/>
        </c:scaling>
        <c:delete val="0"/>
        <c:axPos val="b"/>
        <c:majorGridlines>
          <c:spPr>
            <a:ln w="9525" cap="flat" cmpd="sng" algn="ctr">
              <a:solidFill>
                <a:schemeClr val="tx1">
                  <a:lumMod val="15000"/>
                  <a:lumOff val="85000"/>
                </a:schemeClr>
              </a:solidFill>
              <a:prstDash val="dash"/>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Sanitation</a:t>
                </a:r>
                <a:r>
                  <a:rPr lang="en-US" b="1" baseline="0">
                    <a:solidFill>
                      <a:sysClr val="windowText" lastClr="000000"/>
                    </a:solidFill>
                  </a:rPr>
                  <a:t> Strategy</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800" b="1" i="0" u="none" strike="noStrike" kern="1200" baseline="0">
                <a:solidFill>
                  <a:sysClr val="windowText" lastClr="000000"/>
                </a:solidFill>
                <a:latin typeface="+mn-lt"/>
                <a:ea typeface="+mn-ea"/>
                <a:cs typeface="+mn-cs"/>
              </a:defRPr>
            </a:pPr>
            <a:endParaRPr lang="en-US"/>
          </a:p>
        </c:txPr>
        <c:crossAx val="1427975872"/>
        <c:crosses val="autoZero"/>
        <c:auto val="1"/>
        <c:lblAlgn val="ctr"/>
        <c:lblOffset val="100"/>
        <c:tickMarkSkip val="1"/>
        <c:noMultiLvlLbl val="0"/>
      </c:catAx>
      <c:valAx>
        <c:axId val="1427975872"/>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Annual Net Profit ($/tap) Above No Sanitation</a:t>
                </a:r>
              </a:p>
            </c:rich>
          </c:tx>
          <c:layout>
            <c:manualLayout>
              <c:xMode val="edge"/>
              <c:yMode val="edge"/>
              <c:x val="2.3399290997716191E-2"/>
              <c:y val="0.1334212665041235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525625776"/>
        <c:crosses val="autoZero"/>
        <c:crossBetween val="between"/>
      </c:valAx>
      <c:spPr>
        <a:solidFill>
          <a:schemeClr val="bg1">
            <a:lumMod val="95000"/>
          </a:schemeClr>
        </a:solid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15</xdr:col>
      <xdr:colOff>103414</xdr:colOff>
      <xdr:row>6</xdr:row>
      <xdr:rowOff>141514</xdr:rowOff>
    </xdr:from>
    <xdr:to>
      <xdr:col>19</xdr:col>
      <xdr:colOff>238556</xdr:colOff>
      <xdr:row>20</xdr:row>
      <xdr:rowOff>24492</xdr:rowOff>
    </xdr:to>
    <xdr:pic>
      <xdr:nvPicPr>
        <xdr:cNvPr id="5" name="Picture 4">
          <a:extLst>
            <a:ext uri="{FF2B5EF4-FFF2-40B4-BE49-F238E27FC236}">
              <a16:creationId xmlns:a16="http://schemas.microsoft.com/office/drawing/2014/main" id="{812FBA39-7AEB-4C86-9279-BA2E3922D7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00557" y="1300843"/>
          <a:ext cx="2747713" cy="2495549"/>
        </a:xfrm>
        <a:prstGeom prst="rect">
          <a:avLst/>
        </a:prstGeom>
        <a:ln w="1270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8851</xdr:colOff>
      <xdr:row>15</xdr:row>
      <xdr:rowOff>175413</xdr:rowOff>
    </xdr:from>
    <xdr:to>
      <xdr:col>12</xdr:col>
      <xdr:colOff>0</xdr:colOff>
      <xdr:row>18</xdr:row>
      <xdr:rowOff>36198</xdr:rowOff>
    </xdr:to>
    <xdr:sp macro="" textlink="">
      <xdr:nvSpPr>
        <xdr:cNvPr id="2" name="TextBox 1">
          <a:extLst>
            <a:ext uri="{FF2B5EF4-FFF2-40B4-BE49-F238E27FC236}">
              <a16:creationId xmlns:a16="http://schemas.microsoft.com/office/drawing/2014/main" id="{6701559A-BB6D-4A9E-9C4E-63BD3BCC5399}"/>
            </a:ext>
          </a:extLst>
        </xdr:cNvPr>
        <xdr:cNvSpPr txBox="1"/>
      </xdr:nvSpPr>
      <xdr:spPr>
        <a:xfrm>
          <a:off x="180301" y="3134513"/>
          <a:ext cx="7175500" cy="23543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b="1"/>
            <a:t>Sources: </a:t>
          </a:r>
          <a:r>
            <a:rPr lang="en-US" sz="1000" b="0" i="1"/>
            <a:t>http://www.uvm.edu/~pmrc/aging.pdf,</a:t>
          </a:r>
          <a:r>
            <a:rPr lang="en-US" sz="1000" b="0" i="1" baseline="0"/>
            <a:t>  </a:t>
          </a:r>
          <a:r>
            <a:rPr lang="en-US" sz="1000" b="0" i="1"/>
            <a:t>http://www.uvm.edu/~pmrc/tubing_age.pdf</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8851</xdr:colOff>
      <xdr:row>14</xdr:row>
      <xdr:rowOff>175413</xdr:rowOff>
    </xdr:from>
    <xdr:to>
      <xdr:col>9</xdr:col>
      <xdr:colOff>0</xdr:colOff>
      <xdr:row>16</xdr:row>
      <xdr:rowOff>36198</xdr:rowOff>
    </xdr:to>
    <xdr:sp macro="" textlink="">
      <xdr:nvSpPr>
        <xdr:cNvPr id="2" name="TextBox 1">
          <a:extLst>
            <a:ext uri="{FF2B5EF4-FFF2-40B4-BE49-F238E27FC236}">
              <a16:creationId xmlns:a16="http://schemas.microsoft.com/office/drawing/2014/main" id="{C319796C-4126-4437-B000-EA03E9E146D3}"/>
            </a:ext>
          </a:extLst>
        </xdr:cNvPr>
        <xdr:cNvSpPr txBox="1"/>
      </xdr:nvSpPr>
      <xdr:spPr>
        <a:xfrm>
          <a:off x="180301" y="3299613"/>
          <a:ext cx="8023899" cy="24813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b="1"/>
            <a:t>Sources: </a:t>
          </a:r>
          <a:r>
            <a:rPr lang="en-US" sz="1000" b="0" i="1"/>
            <a:t>http://www.uvm.edu/~pmrc/aging.pdf,</a:t>
          </a:r>
          <a:r>
            <a:rPr lang="en-US" sz="1000" b="0" i="1" baseline="0"/>
            <a:t>  </a:t>
          </a:r>
          <a:r>
            <a:rPr lang="en-US" sz="1000" b="0" i="1"/>
            <a:t>http://www.uvm.edu/~pmrc/tubing_age.pdf</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514350</xdr:colOff>
      <xdr:row>20</xdr:row>
      <xdr:rowOff>69850</xdr:rowOff>
    </xdr:to>
    <xdr:graphicFrame macro="">
      <xdr:nvGraphicFramePr>
        <xdr:cNvPr id="2" name="Chart 1">
          <a:extLst>
            <a:ext uri="{FF2B5EF4-FFF2-40B4-BE49-F238E27FC236}">
              <a16:creationId xmlns:a16="http://schemas.microsoft.com/office/drawing/2014/main" id="{7913B930-5889-4459-AD72-3E590A36A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0</xdr:row>
      <xdr:rowOff>0</xdr:rowOff>
    </xdr:from>
    <xdr:to>
      <xdr:col>18</xdr:col>
      <xdr:colOff>381000</xdr:colOff>
      <xdr:row>20</xdr:row>
      <xdr:rowOff>69850</xdr:rowOff>
    </xdr:to>
    <xdr:graphicFrame macro="">
      <xdr:nvGraphicFramePr>
        <xdr:cNvPr id="3" name="Chart 2">
          <a:extLst>
            <a:ext uri="{FF2B5EF4-FFF2-40B4-BE49-F238E27FC236}">
              <a16:creationId xmlns:a16="http://schemas.microsoft.com/office/drawing/2014/main" id="{17252F61-FF40-4CC2-9431-C88C3A7315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tabSelected="1" workbookViewId="0">
      <selection activeCell="E17" sqref="E17"/>
    </sheetView>
  </sheetViews>
  <sheetFormatPr defaultRowHeight="14.5" x14ac:dyDescent="0.35"/>
  <sheetData>
    <row r="1" spans="1:20" ht="18.5" x14ac:dyDescent="0.45">
      <c r="A1" s="120" t="s">
        <v>60</v>
      </c>
      <c r="B1" s="121"/>
      <c r="C1" s="121"/>
      <c r="D1" s="121"/>
      <c r="E1" s="121"/>
      <c r="F1" s="121"/>
      <c r="G1" s="121"/>
      <c r="H1" s="121"/>
      <c r="I1" s="121"/>
      <c r="J1" s="121"/>
      <c r="K1" s="121"/>
      <c r="L1" s="121"/>
      <c r="M1" s="121"/>
      <c r="N1" s="121"/>
      <c r="O1" s="121"/>
      <c r="P1" s="121"/>
      <c r="Q1" s="121"/>
      <c r="R1" s="121"/>
      <c r="S1" s="121"/>
      <c r="T1" s="122"/>
    </row>
    <row r="2" spans="1:20" x14ac:dyDescent="0.35">
      <c r="A2" s="123"/>
      <c r="B2" s="124"/>
      <c r="C2" s="124"/>
      <c r="D2" s="124"/>
      <c r="E2" s="124"/>
      <c r="F2" s="124"/>
      <c r="G2" s="124"/>
      <c r="H2" s="124"/>
      <c r="I2" s="124"/>
      <c r="J2" s="124"/>
      <c r="K2" s="124"/>
      <c r="L2" s="124"/>
      <c r="M2" s="124"/>
      <c r="N2" s="124"/>
      <c r="O2" s="124"/>
      <c r="P2" s="124"/>
      <c r="Q2" s="124"/>
      <c r="R2" s="124"/>
      <c r="S2" s="124"/>
      <c r="T2" s="125"/>
    </row>
    <row r="3" spans="1:20" x14ac:dyDescent="0.35">
      <c r="A3" s="123" t="s">
        <v>61</v>
      </c>
      <c r="B3" s="124"/>
      <c r="C3" s="124"/>
      <c r="D3" s="124"/>
      <c r="E3" s="124"/>
      <c r="F3" s="124"/>
      <c r="G3" s="124"/>
      <c r="H3" s="124"/>
      <c r="I3" s="124"/>
      <c r="J3" s="124"/>
      <c r="K3" s="124"/>
      <c r="L3" s="124"/>
      <c r="M3" s="124"/>
      <c r="N3" s="124"/>
      <c r="O3" s="124"/>
      <c r="P3" s="124"/>
      <c r="Q3" s="124"/>
      <c r="R3" s="124"/>
      <c r="S3" s="124"/>
      <c r="T3" s="125"/>
    </row>
    <row r="4" spans="1:20" x14ac:dyDescent="0.35">
      <c r="A4" s="123" t="s">
        <v>85</v>
      </c>
      <c r="B4" s="124"/>
      <c r="C4" s="124"/>
      <c r="D4" s="124"/>
      <c r="E4" s="124"/>
      <c r="F4" s="124"/>
      <c r="G4" s="124"/>
      <c r="H4" s="124"/>
      <c r="I4" s="124"/>
      <c r="J4" s="124"/>
      <c r="K4" s="124"/>
      <c r="L4" s="124"/>
      <c r="M4" s="124"/>
      <c r="N4" s="124"/>
      <c r="O4" s="124"/>
      <c r="P4" s="124"/>
      <c r="Q4" s="124"/>
      <c r="R4" s="124"/>
      <c r="S4" s="124"/>
      <c r="T4" s="125"/>
    </row>
    <row r="5" spans="1:20" x14ac:dyDescent="0.35">
      <c r="A5" s="123"/>
      <c r="B5" s="124"/>
      <c r="C5" s="124"/>
      <c r="D5" s="124"/>
      <c r="E5" s="124"/>
      <c r="F5" s="124"/>
      <c r="G5" s="124"/>
      <c r="H5" s="124"/>
      <c r="I5" s="124"/>
      <c r="J5" s="124"/>
      <c r="K5" s="124"/>
      <c r="L5" s="124"/>
      <c r="M5" s="124"/>
      <c r="N5" s="124"/>
      <c r="O5" s="124"/>
      <c r="P5" s="124"/>
      <c r="Q5" s="124"/>
      <c r="R5" s="124"/>
      <c r="S5" s="124"/>
      <c r="T5" s="125"/>
    </row>
    <row r="6" spans="1:20" x14ac:dyDescent="0.35">
      <c r="A6" s="123" t="s">
        <v>63</v>
      </c>
      <c r="B6" s="124"/>
      <c r="C6" s="124"/>
      <c r="D6" s="124"/>
      <c r="E6" s="124"/>
      <c r="F6" s="124"/>
      <c r="G6" s="124"/>
      <c r="H6" s="124"/>
      <c r="I6" s="124"/>
      <c r="J6" s="124"/>
      <c r="K6" s="124"/>
      <c r="L6" s="124"/>
      <c r="M6" s="124"/>
      <c r="N6" s="124"/>
      <c r="O6" s="124"/>
      <c r="P6" s="124"/>
      <c r="Q6" s="124"/>
      <c r="R6" s="124"/>
      <c r="S6" s="124"/>
      <c r="T6" s="125"/>
    </row>
    <row r="7" spans="1:20" x14ac:dyDescent="0.35">
      <c r="A7" s="123" t="s">
        <v>62</v>
      </c>
      <c r="B7" s="124"/>
      <c r="C7" s="124"/>
      <c r="D7" s="124"/>
      <c r="E7" s="124"/>
      <c r="F7" s="124"/>
      <c r="G7" s="124"/>
      <c r="H7" s="124"/>
      <c r="I7" s="124"/>
      <c r="J7" s="124"/>
      <c r="K7" s="124"/>
      <c r="L7" s="124"/>
      <c r="M7" s="124"/>
      <c r="N7" s="124"/>
      <c r="O7" s="124"/>
      <c r="P7" s="124"/>
      <c r="Q7" s="124"/>
      <c r="R7" s="124"/>
      <c r="S7" s="124"/>
      <c r="T7" s="125"/>
    </row>
    <row r="8" spans="1:20" x14ac:dyDescent="0.35">
      <c r="A8" s="123"/>
      <c r="B8" s="124"/>
      <c r="C8" s="124"/>
      <c r="D8" s="124"/>
      <c r="E8" s="124"/>
      <c r="F8" s="124"/>
      <c r="G8" s="124"/>
      <c r="H8" s="124"/>
      <c r="I8" s="124"/>
      <c r="J8" s="124"/>
      <c r="K8" s="124"/>
      <c r="L8" s="124"/>
      <c r="M8" s="124"/>
      <c r="N8" s="124"/>
      <c r="O8" s="124"/>
      <c r="P8" s="124"/>
      <c r="Q8" s="124"/>
      <c r="R8" s="124"/>
      <c r="S8" s="124"/>
      <c r="T8" s="125"/>
    </row>
    <row r="9" spans="1:20" x14ac:dyDescent="0.35">
      <c r="A9" s="123" t="s">
        <v>64</v>
      </c>
      <c r="B9" s="124"/>
      <c r="C9" s="124"/>
      <c r="D9" s="124"/>
      <c r="E9" s="124"/>
      <c r="F9" s="124"/>
      <c r="G9" s="124"/>
      <c r="H9" s="124"/>
      <c r="I9" s="124"/>
      <c r="J9" s="124"/>
      <c r="K9" s="124"/>
      <c r="L9" s="124"/>
      <c r="M9" s="124"/>
      <c r="N9" s="124"/>
      <c r="O9" s="124"/>
      <c r="P9" s="124"/>
      <c r="Q9" s="124"/>
      <c r="R9" s="124"/>
      <c r="S9" s="124"/>
      <c r="T9" s="125"/>
    </row>
    <row r="10" spans="1:20" ht="15" thickBot="1" x14ac:dyDescent="0.4">
      <c r="A10" s="123"/>
      <c r="B10" s="124"/>
      <c r="C10" s="124"/>
      <c r="D10" s="124"/>
      <c r="E10" s="124"/>
      <c r="F10" s="124"/>
      <c r="G10" s="124"/>
      <c r="H10" s="124"/>
      <c r="I10" s="124"/>
      <c r="J10" s="124"/>
      <c r="K10" s="124"/>
      <c r="L10" s="124"/>
      <c r="M10" s="124"/>
      <c r="N10" s="124"/>
      <c r="O10" s="124"/>
      <c r="P10" s="124"/>
      <c r="Q10" s="124"/>
      <c r="R10" s="124"/>
      <c r="S10" s="124"/>
      <c r="T10" s="125"/>
    </row>
    <row r="11" spans="1:20" ht="15.5" thickTop="1" thickBot="1" x14ac:dyDescent="0.4">
      <c r="A11" s="123" t="s">
        <v>65</v>
      </c>
      <c r="B11" s="124"/>
      <c r="C11" s="124"/>
      <c r="D11" s="124"/>
      <c r="E11" s="124"/>
      <c r="F11" s="124"/>
      <c r="G11" s="124"/>
      <c r="H11" s="124"/>
      <c r="I11" s="124"/>
      <c r="J11" s="124"/>
      <c r="K11" s="124"/>
      <c r="L11" s="124"/>
      <c r="M11" s="50">
        <v>0.18</v>
      </c>
      <c r="N11" s="124"/>
      <c r="O11" s="124"/>
      <c r="P11" s="124"/>
      <c r="Q11" s="124"/>
      <c r="R11" s="124"/>
      <c r="S11" s="124"/>
      <c r="T11" s="125"/>
    </row>
    <row r="12" spans="1:20" ht="15" thickTop="1" x14ac:dyDescent="0.35">
      <c r="A12" s="123" t="s">
        <v>86</v>
      </c>
      <c r="B12" s="124"/>
      <c r="C12" s="124"/>
      <c r="D12" s="124"/>
      <c r="E12" s="124"/>
      <c r="F12" s="124"/>
      <c r="G12" s="124"/>
      <c r="H12" s="124"/>
      <c r="I12" s="124"/>
      <c r="J12" s="124"/>
      <c r="K12" s="124"/>
      <c r="L12" s="124"/>
      <c r="M12" s="124"/>
      <c r="N12" s="124"/>
      <c r="O12" s="124"/>
      <c r="P12" s="124"/>
      <c r="Q12" s="124"/>
      <c r="R12" s="124"/>
      <c r="S12" s="124"/>
      <c r="T12" s="125"/>
    </row>
    <row r="13" spans="1:20" x14ac:dyDescent="0.35">
      <c r="A13" s="123"/>
      <c r="B13" s="124"/>
      <c r="C13" s="124"/>
      <c r="D13" s="124"/>
      <c r="E13" s="124"/>
      <c r="F13" s="124"/>
      <c r="G13" s="124"/>
      <c r="H13" s="124"/>
      <c r="I13" s="124"/>
      <c r="J13" s="124"/>
      <c r="K13" s="124"/>
      <c r="L13" s="124"/>
      <c r="M13" s="124"/>
      <c r="N13" s="124"/>
      <c r="O13" s="124"/>
      <c r="P13" s="124"/>
      <c r="Q13" s="124"/>
      <c r="R13" s="124"/>
      <c r="S13" s="124"/>
      <c r="T13" s="125"/>
    </row>
    <row r="14" spans="1:20" x14ac:dyDescent="0.35">
      <c r="A14" s="123" t="s">
        <v>66</v>
      </c>
      <c r="B14" s="124"/>
      <c r="C14" s="124"/>
      <c r="D14" s="124"/>
      <c r="E14" s="124"/>
      <c r="F14" s="124"/>
      <c r="G14" s="124"/>
      <c r="H14" s="124"/>
      <c r="I14" s="124"/>
      <c r="J14" s="124"/>
      <c r="K14" s="124"/>
      <c r="L14" s="124"/>
      <c r="M14" s="124"/>
      <c r="N14" s="124"/>
      <c r="O14" s="124"/>
      <c r="P14" s="124"/>
      <c r="Q14" s="124"/>
      <c r="R14" s="124"/>
      <c r="S14" s="124"/>
      <c r="T14" s="125"/>
    </row>
    <row r="15" spans="1:20" x14ac:dyDescent="0.35">
      <c r="A15" s="123" t="s">
        <v>67</v>
      </c>
      <c r="B15" s="124"/>
      <c r="C15" s="124"/>
      <c r="D15" s="124"/>
      <c r="E15" s="124"/>
      <c r="F15" s="124"/>
      <c r="G15" s="124"/>
      <c r="H15" s="124"/>
      <c r="I15" s="124"/>
      <c r="J15" s="124"/>
      <c r="K15" s="124"/>
      <c r="L15" s="124"/>
      <c r="M15" s="124"/>
      <c r="N15" s="124"/>
      <c r="O15" s="124"/>
      <c r="P15" s="124"/>
      <c r="Q15" s="124"/>
      <c r="R15" s="124"/>
      <c r="S15" s="124"/>
      <c r="T15" s="125"/>
    </row>
    <row r="16" spans="1:20" x14ac:dyDescent="0.35">
      <c r="A16" s="123"/>
      <c r="B16" s="124"/>
      <c r="C16" s="124"/>
      <c r="D16" s="124"/>
      <c r="E16" s="124"/>
      <c r="F16" s="124"/>
      <c r="G16" s="124"/>
      <c r="H16" s="124"/>
      <c r="I16" s="124"/>
      <c r="J16" s="124"/>
      <c r="K16" s="124"/>
      <c r="L16" s="124"/>
      <c r="M16" s="124"/>
      <c r="N16" s="124"/>
      <c r="O16" s="124"/>
      <c r="P16" s="124"/>
      <c r="Q16" s="124"/>
      <c r="R16" s="124"/>
      <c r="S16" s="124"/>
      <c r="T16" s="125"/>
    </row>
    <row r="17" spans="1:20" x14ac:dyDescent="0.35">
      <c r="A17" s="123" t="s">
        <v>68</v>
      </c>
      <c r="B17" s="124"/>
      <c r="C17" s="124"/>
      <c r="D17" s="124"/>
      <c r="E17" s="124"/>
      <c r="F17" s="124"/>
      <c r="G17" s="124"/>
      <c r="H17" s="124"/>
      <c r="I17" s="124"/>
      <c r="J17" s="124"/>
      <c r="K17" s="124"/>
      <c r="L17" s="124"/>
      <c r="M17" s="124"/>
      <c r="N17" s="124"/>
      <c r="O17" s="124"/>
      <c r="P17" s="124"/>
      <c r="Q17" s="124"/>
      <c r="R17" s="124"/>
      <c r="S17" s="124"/>
      <c r="T17" s="125"/>
    </row>
    <row r="18" spans="1:20" x14ac:dyDescent="0.35">
      <c r="A18" s="123"/>
      <c r="B18" s="124"/>
      <c r="C18" s="124"/>
      <c r="D18" s="124"/>
      <c r="E18" s="124"/>
      <c r="F18" s="124"/>
      <c r="G18" s="124"/>
      <c r="H18" s="124"/>
      <c r="I18" s="124"/>
      <c r="J18" s="124"/>
      <c r="K18" s="124"/>
      <c r="L18" s="124"/>
      <c r="M18" s="124"/>
      <c r="N18" s="124"/>
      <c r="O18" s="124"/>
      <c r="P18" s="124"/>
      <c r="Q18" s="124"/>
      <c r="R18" s="124"/>
      <c r="S18" s="124"/>
      <c r="T18" s="125"/>
    </row>
    <row r="19" spans="1:20" x14ac:dyDescent="0.35">
      <c r="A19" s="123" t="s">
        <v>82</v>
      </c>
      <c r="B19" s="124"/>
      <c r="C19" s="124"/>
      <c r="D19" s="124"/>
      <c r="E19" s="124"/>
      <c r="F19" s="124"/>
      <c r="G19" s="124"/>
      <c r="H19" s="124"/>
      <c r="I19" s="124"/>
      <c r="J19" s="124"/>
      <c r="K19" s="124"/>
      <c r="L19" s="124"/>
      <c r="M19" s="124"/>
      <c r="N19" s="124"/>
      <c r="O19" s="124"/>
      <c r="P19" s="124"/>
      <c r="Q19" s="124"/>
      <c r="R19" s="124"/>
      <c r="S19" s="124"/>
      <c r="T19" s="125"/>
    </row>
    <row r="20" spans="1:20" x14ac:dyDescent="0.35">
      <c r="A20" s="123" t="s">
        <v>83</v>
      </c>
      <c r="B20" s="124"/>
      <c r="C20" s="124"/>
      <c r="D20" s="124"/>
      <c r="E20" s="124"/>
      <c r="F20" s="124"/>
      <c r="G20" s="124"/>
      <c r="H20" s="124"/>
      <c r="I20" s="124"/>
      <c r="J20" s="124"/>
      <c r="K20" s="124"/>
      <c r="L20" s="124"/>
      <c r="M20" s="124"/>
      <c r="N20" s="124"/>
      <c r="O20" s="124"/>
      <c r="P20" s="124"/>
      <c r="Q20" s="124"/>
      <c r="R20" s="124"/>
      <c r="S20" s="124"/>
      <c r="T20" s="125"/>
    </row>
    <row r="21" spans="1:20" x14ac:dyDescent="0.35">
      <c r="A21" s="123" t="s">
        <v>84</v>
      </c>
      <c r="B21" s="124"/>
      <c r="C21" s="124"/>
      <c r="D21" s="124"/>
      <c r="E21" s="124"/>
      <c r="F21" s="124"/>
      <c r="G21" s="124"/>
      <c r="H21" s="124"/>
      <c r="I21" s="124"/>
      <c r="J21" s="124"/>
      <c r="K21" s="124"/>
      <c r="L21" s="124"/>
      <c r="M21" s="124"/>
      <c r="N21" s="124"/>
      <c r="O21" s="124"/>
      <c r="P21" s="124"/>
      <c r="Q21" s="124"/>
      <c r="R21" s="124"/>
      <c r="S21" s="124"/>
      <c r="T21" s="125"/>
    </row>
    <row r="22" spans="1:20" x14ac:dyDescent="0.35">
      <c r="A22" s="123"/>
      <c r="B22" s="124"/>
      <c r="C22" s="124"/>
      <c r="D22" s="124"/>
      <c r="E22" s="124"/>
      <c r="F22" s="124"/>
      <c r="G22" s="124"/>
      <c r="H22" s="124"/>
      <c r="I22" s="124"/>
      <c r="J22" s="124"/>
      <c r="K22" s="124"/>
      <c r="L22" s="124"/>
      <c r="M22" s="124"/>
      <c r="N22" s="124"/>
      <c r="O22" s="124"/>
      <c r="P22" s="124"/>
      <c r="Q22" s="124"/>
      <c r="R22" s="124"/>
      <c r="S22" s="124"/>
      <c r="T22" s="125"/>
    </row>
    <row r="23" spans="1:20" x14ac:dyDescent="0.35">
      <c r="A23" s="123" t="s">
        <v>87</v>
      </c>
      <c r="B23" s="124"/>
      <c r="C23" s="124"/>
      <c r="D23" s="124"/>
      <c r="E23" s="124"/>
      <c r="F23" s="124"/>
      <c r="G23" s="124"/>
      <c r="H23" s="124"/>
      <c r="I23" s="124"/>
      <c r="J23" s="124"/>
      <c r="K23" s="124"/>
      <c r="L23" s="124"/>
      <c r="M23" s="124"/>
      <c r="N23" s="124"/>
      <c r="O23" s="124"/>
      <c r="P23" s="124"/>
      <c r="Q23" s="124"/>
      <c r="R23" s="124"/>
      <c r="S23" s="124"/>
      <c r="T23" s="125"/>
    </row>
    <row r="24" spans="1:20" x14ac:dyDescent="0.35">
      <c r="A24" s="123"/>
      <c r="B24" s="124"/>
      <c r="C24" s="124"/>
      <c r="D24" s="124"/>
      <c r="E24" s="124"/>
      <c r="F24" s="124"/>
      <c r="G24" s="124"/>
      <c r="H24" s="124"/>
      <c r="I24" s="124"/>
      <c r="J24" s="124"/>
      <c r="K24" s="124"/>
      <c r="L24" s="124"/>
      <c r="M24" s="124"/>
      <c r="N24" s="124"/>
      <c r="O24" s="124"/>
      <c r="P24" s="124"/>
      <c r="Q24" s="124"/>
      <c r="R24" s="124"/>
      <c r="S24" s="124"/>
      <c r="T24" s="125"/>
    </row>
    <row r="25" spans="1:20" x14ac:dyDescent="0.35">
      <c r="A25" s="123" t="s">
        <v>69</v>
      </c>
      <c r="B25" s="124"/>
      <c r="C25" s="124"/>
      <c r="D25" s="124"/>
      <c r="E25" s="124"/>
      <c r="F25" s="124"/>
      <c r="G25" s="124"/>
      <c r="H25" s="124"/>
      <c r="I25" s="124"/>
      <c r="J25" s="124"/>
      <c r="K25" s="124"/>
      <c r="L25" s="124"/>
      <c r="M25" s="124"/>
      <c r="N25" s="124"/>
      <c r="O25" s="124"/>
      <c r="P25" s="124"/>
      <c r="Q25" s="124"/>
      <c r="R25" s="124"/>
      <c r="S25" s="124"/>
      <c r="T25" s="125"/>
    </row>
    <row r="26" spans="1:20" x14ac:dyDescent="0.35">
      <c r="A26" s="123" t="s">
        <v>70</v>
      </c>
      <c r="B26" s="124"/>
      <c r="C26" s="124"/>
      <c r="D26" s="124"/>
      <c r="E26" s="124"/>
      <c r="F26" s="124"/>
      <c r="G26" s="124"/>
      <c r="H26" s="124"/>
      <c r="I26" s="124"/>
      <c r="J26" s="124"/>
      <c r="K26" s="124"/>
      <c r="L26" s="124"/>
      <c r="M26" s="124"/>
      <c r="N26" s="124"/>
      <c r="O26" s="124"/>
      <c r="P26" s="124"/>
      <c r="Q26" s="124"/>
      <c r="R26" s="124"/>
      <c r="S26" s="124"/>
      <c r="T26" s="125"/>
    </row>
    <row r="27" spans="1:20" ht="15" thickBot="1" x14ac:dyDescent="0.4">
      <c r="A27" s="126" t="s">
        <v>71</v>
      </c>
      <c r="B27" s="127"/>
      <c r="C27" s="127"/>
      <c r="D27" s="127"/>
      <c r="E27" s="127"/>
      <c r="F27" s="127"/>
      <c r="G27" s="127"/>
      <c r="H27" s="127"/>
      <c r="I27" s="127"/>
      <c r="J27" s="127"/>
      <c r="K27" s="127"/>
      <c r="L27" s="127"/>
      <c r="M27" s="127"/>
      <c r="N27" s="127"/>
      <c r="O27" s="127"/>
      <c r="P27" s="127"/>
      <c r="Q27" s="127"/>
      <c r="R27" s="127"/>
      <c r="S27" s="127"/>
      <c r="T27" s="12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X28"/>
  <sheetViews>
    <sheetView showGridLines="0" showRowColHeaders="0" zoomScaleNormal="100" workbookViewId="0">
      <selection activeCell="D13" sqref="D13"/>
    </sheetView>
  </sheetViews>
  <sheetFormatPr defaultRowHeight="14.5" x14ac:dyDescent="0.35"/>
  <cols>
    <col min="1" max="1" width="2.453125" customWidth="1"/>
    <col min="2" max="2" width="13.1796875" customWidth="1"/>
    <col min="3" max="3" width="15.54296875" customWidth="1"/>
    <col min="5" max="5" width="4.26953125" customWidth="1"/>
    <col min="6" max="6" width="6.54296875" customWidth="1"/>
    <col min="7" max="7" width="7.36328125" customWidth="1"/>
    <col min="8" max="8" width="7" customWidth="1"/>
    <col min="9" max="9" width="8.1796875" customWidth="1"/>
    <col min="10" max="10" width="8.7265625" customWidth="1"/>
    <col min="11" max="11" width="14.26953125" customWidth="1"/>
    <col min="12" max="12" width="15.36328125" customWidth="1"/>
    <col min="13" max="13" width="1.08984375" customWidth="1"/>
    <col min="14" max="21" width="8.7265625" hidden="1" customWidth="1"/>
    <col min="22" max="22" width="24.08984375" customWidth="1"/>
    <col min="24" max="24" width="1.26953125" customWidth="1"/>
  </cols>
  <sheetData>
    <row r="1" spans="2:23" ht="24" thickBot="1" x14ac:dyDescent="0.6">
      <c r="B1" s="142" t="s">
        <v>0</v>
      </c>
      <c r="C1" s="143"/>
      <c r="D1" s="143"/>
      <c r="E1" s="143"/>
      <c r="F1" s="143"/>
      <c r="G1" s="143"/>
      <c r="H1" s="143"/>
      <c r="I1" s="143"/>
      <c r="J1" s="143"/>
      <c r="K1" s="143"/>
      <c r="L1" s="143"/>
      <c r="M1" s="143"/>
      <c r="N1" s="143"/>
      <c r="O1" s="143"/>
      <c r="P1" s="143"/>
      <c r="Q1" s="143"/>
      <c r="R1" s="143"/>
      <c r="S1" s="143"/>
      <c r="T1" s="143"/>
      <c r="U1" s="143"/>
      <c r="V1" s="144"/>
      <c r="W1" s="144"/>
    </row>
    <row r="2" spans="2:23" ht="21.5" thickBot="1" x14ac:dyDescent="0.55000000000000004">
      <c r="B2" s="135" t="s">
        <v>1</v>
      </c>
      <c r="C2" s="136"/>
      <c r="D2" s="137"/>
      <c r="E2" s="13"/>
      <c r="F2" s="14"/>
      <c r="G2" s="117"/>
      <c r="H2" s="14"/>
      <c r="I2" s="14"/>
      <c r="J2" s="138"/>
      <c r="K2" s="138"/>
      <c r="L2" s="139"/>
      <c r="V2" s="140" t="s">
        <v>17</v>
      </c>
      <c r="W2" s="141"/>
    </row>
    <row r="3" spans="2:23" ht="15.5" customHeight="1" thickBot="1" x14ac:dyDescent="0.4">
      <c r="B3" s="1" t="s">
        <v>32</v>
      </c>
      <c r="C3" s="2"/>
      <c r="D3" s="3"/>
      <c r="E3" s="9" t="s">
        <v>31</v>
      </c>
      <c r="F3" s="3"/>
      <c r="G3" s="3"/>
      <c r="H3" s="3"/>
      <c r="I3" s="3"/>
      <c r="J3" s="3"/>
      <c r="K3" s="3"/>
      <c r="L3" s="25"/>
      <c r="V3" s="19" t="s">
        <v>18</v>
      </c>
      <c r="W3" s="20"/>
    </row>
    <row r="4" spans="2:23" ht="15.5" thickTop="1" thickBot="1" x14ac:dyDescent="0.4">
      <c r="B4" s="37" t="s">
        <v>10</v>
      </c>
      <c r="C4" s="4"/>
      <c r="D4" s="129">
        <v>20</v>
      </c>
      <c r="E4" s="10" t="s">
        <v>79</v>
      </c>
      <c r="F4" s="3"/>
      <c r="G4" s="3"/>
      <c r="H4" s="3"/>
      <c r="I4" s="3"/>
      <c r="J4" s="3"/>
      <c r="K4" s="3"/>
      <c r="L4" s="26"/>
      <c r="V4" s="21" t="s">
        <v>19</v>
      </c>
      <c r="W4" s="131">
        <v>10</v>
      </c>
    </row>
    <row r="5" spans="2:23" ht="15.5" thickTop="1" thickBot="1" x14ac:dyDescent="0.4">
      <c r="B5" s="37" t="s">
        <v>15</v>
      </c>
      <c r="C5" s="4"/>
      <c r="D5" s="129">
        <v>1</v>
      </c>
      <c r="E5" s="10" t="s">
        <v>80</v>
      </c>
      <c r="F5" s="3"/>
      <c r="G5" s="3"/>
      <c r="H5" s="3"/>
      <c r="I5" s="3"/>
      <c r="J5" s="3"/>
      <c r="K5" s="3"/>
      <c r="L5" s="26"/>
      <c r="V5" s="21" t="s">
        <v>20</v>
      </c>
      <c r="W5" s="132">
        <v>30</v>
      </c>
    </row>
    <row r="6" spans="2:23" ht="15.5" thickTop="1" thickBot="1" x14ac:dyDescent="0.4">
      <c r="B6" s="12" t="s">
        <v>11</v>
      </c>
      <c r="C6" s="2"/>
      <c r="D6" s="130">
        <v>0.51</v>
      </c>
      <c r="E6" s="10" t="s">
        <v>81</v>
      </c>
      <c r="F6" s="3"/>
      <c r="G6" s="3"/>
      <c r="H6" s="3"/>
      <c r="I6" s="3"/>
      <c r="J6" s="3"/>
      <c r="K6" s="3"/>
      <c r="L6" s="26"/>
      <c r="V6" s="21" t="s">
        <v>21</v>
      </c>
      <c r="W6" s="22">
        <f>W4/W5</f>
        <v>0.33333333333333331</v>
      </c>
    </row>
    <row r="7" spans="2:23" ht="15" thickTop="1" x14ac:dyDescent="0.35">
      <c r="B7" s="1"/>
      <c r="C7" s="2"/>
      <c r="D7" s="3"/>
      <c r="E7" s="3"/>
      <c r="F7" s="145" t="s">
        <v>47</v>
      </c>
      <c r="G7" s="146"/>
      <c r="H7" s="146"/>
      <c r="I7" s="146"/>
      <c r="J7" s="147" t="s">
        <v>29</v>
      </c>
      <c r="K7" s="147"/>
      <c r="L7" s="148"/>
      <c r="V7" s="21"/>
      <c r="W7" s="5"/>
    </row>
    <row r="8" spans="2:23" ht="15" thickBot="1" x14ac:dyDescent="0.4">
      <c r="B8" s="1"/>
      <c r="C8" s="2"/>
      <c r="D8" s="3"/>
      <c r="E8" s="3"/>
      <c r="F8" s="3" t="s">
        <v>3</v>
      </c>
      <c r="G8" s="3" t="s">
        <v>4</v>
      </c>
      <c r="H8" s="3" t="s">
        <v>5</v>
      </c>
      <c r="I8" s="3" t="s">
        <v>6</v>
      </c>
      <c r="J8" s="3" t="s">
        <v>7</v>
      </c>
      <c r="K8" s="3" t="s">
        <v>8</v>
      </c>
      <c r="L8" s="27" t="s">
        <v>30</v>
      </c>
      <c r="V8" s="19" t="s">
        <v>22</v>
      </c>
      <c r="W8" s="20"/>
    </row>
    <row r="9" spans="2:23" ht="15.5" thickTop="1" thickBot="1" x14ac:dyDescent="0.4">
      <c r="B9" s="6" t="s">
        <v>2</v>
      </c>
      <c r="C9" s="2"/>
      <c r="D9" s="7" t="s">
        <v>28</v>
      </c>
      <c r="E9" s="3"/>
      <c r="F9" s="18" t="s">
        <v>12</v>
      </c>
      <c r="G9" s="18" t="s">
        <v>12</v>
      </c>
      <c r="H9" s="18" t="s">
        <v>12</v>
      </c>
      <c r="I9" s="18" t="s">
        <v>12</v>
      </c>
      <c r="J9" s="18" t="s">
        <v>12</v>
      </c>
      <c r="K9" s="18" t="s">
        <v>12</v>
      </c>
      <c r="L9" s="28" t="s">
        <v>12</v>
      </c>
      <c r="V9" s="21" t="s">
        <v>19</v>
      </c>
      <c r="W9" s="131">
        <v>10</v>
      </c>
    </row>
    <row r="10" spans="2:23" ht="15.5" thickTop="1" thickBot="1" x14ac:dyDescent="0.4">
      <c r="B10" s="75" t="s">
        <v>40</v>
      </c>
      <c r="C10" s="2"/>
      <c r="D10" s="51">
        <f>SUM(F10:L10)</f>
        <v>0</v>
      </c>
      <c r="E10" s="3"/>
      <c r="F10" s="3"/>
      <c r="G10" s="3"/>
      <c r="H10" s="3"/>
      <c r="I10" s="3"/>
      <c r="J10" s="3"/>
      <c r="K10" s="3"/>
      <c r="L10" s="27"/>
      <c r="V10" s="21" t="s">
        <v>23</v>
      </c>
      <c r="W10" s="132">
        <v>30</v>
      </c>
    </row>
    <row r="11" spans="2:23" ht="15.5" thickTop="1" thickBot="1" x14ac:dyDescent="0.4">
      <c r="B11" s="76" t="s">
        <v>41</v>
      </c>
      <c r="C11" s="4"/>
      <c r="D11" s="53">
        <f t="shared" ref="D11:D16" si="0">SUM(F11:L11)</f>
        <v>0.18</v>
      </c>
      <c r="E11" s="8" t="s">
        <v>9</v>
      </c>
      <c r="F11" s="2"/>
      <c r="G11" s="2"/>
      <c r="H11" s="133">
        <v>0.18</v>
      </c>
      <c r="I11" s="2"/>
      <c r="J11" s="4"/>
      <c r="K11" s="4"/>
      <c r="L11" s="29"/>
      <c r="V11" s="21" t="s">
        <v>24</v>
      </c>
      <c r="W11" s="22">
        <f>W9/W10</f>
        <v>0.33333333333333331</v>
      </c>
    </row>
    <row r="12" spans="2:23" ht="15.5" thickTop="1" thickBot="1" x14ac:dyDescent="0.4">
      <c r="B12" s="77" t="s">
        <v>42</v>
      </c>
      <c r="C12" s="4"/>
      <c r="D12" s="56">
        <f t="shared" si="0"/>
        <v>0.4</v>
      </c>
      <c r="E12" s="8" t="s">
        <v>9</v>
      </c>
      <c r="F12" s="2"/>
      <c r="G12" s="2"/>
      <c r="H12" s="133">
        <v>0.4</v>
      </c>
      <c r="I12" s="2"/>
      <c r="J12" s="4"/>
      <c r="K12" s="4"/>
      <c r="L12" s="29"/>
      <c r="V12" s="21"/>
      <c r="W12" s="5"/>
    </row>
    <row r="13" spans="2:23" ht="15.5" thickTop="1" thickBot="1" x14ac:dyDescent="0.4">
      <c r="B13" s="78" t="s">
        <v>43</v>
      </c>
      <c r="C13" s="4"/>
      <c r="D13" s="101">
        <f t="shared" si="0"/>
        <v>0.70833333333333326</v>
      </c>
      <c r="E13" s="8" t="s">
        <v>9</v>
      </c>
      <c r="F13" s="2"/>
      <c r="G13" s="34"/>
      <c r="H13" s="2"/>
      <c r="I13" s="131">
        <v>0.125</v>
      </c>
      <c r="J13" s="4"/>
      <c r="K13" s="30">
        <f>W16</f>
        <v>0.33333333333333331</v>
      </c>
      <c r="L13" s="131">
        <v>0.25</v>
      </c>
      <c r="V13" s="19" t="s">
        <v>25</v>
      </c>
      <c r="W13" s="20"/>
    </row>
    <row r="14" spans="2:23" ht="15.5" thickTop="1" thickBot="1" x14ac:dyDescent="0.4">
      <c r="B14" s="79" t="s">
        <v>44</v>
      </c>
      <c r="C14" s="4"/>
      <c r="D14" s="95">
        <f t="shared" si="0"/>
        <v>0.83333333333333326</v>
      </c>
      <c r="E14" s="8" t="s">
        <v>9</v>
      </c>
      <c r="F14" s="2"/>
      <c r="G14" s="2"/>
      <c r="H14" s="34"/>
      <c r="I14" s="131">
        <v>0.25</v>
      </c>
      <c r="J14" s="4"/>
      <c r="K14" s="30">
        <f>W16</f>
        <v>0.33333333333333331</v>
      </c>
      <c r="L14" s="131">
        <v>0.25</v>
      </c>
      <c r="V14" s="21" t="s">
        <v>19</v>
      </c>
      <c r="W14" s="131">
        <v>10</v>
      </c>
    </row>
    <row r="15" spans="2:23" ht="15.5" thickTop="1" thickBot="1" x14ac:dyDescent="0.4">
      <c r="B15" s="80" t="s">
        <v>45</v>
      </c>
      <c r="C15" s="4"/>
      <c r="D15" s="58">
        <f t="shared" si="0"/>
        <v>1.4666666666666666</v>
      </c>
      <c r="E15" s="8" t="s">
        <v>9</v>
      </c>
      <c r="F15" s="131">
        <v>0.3</v>
      </c>
      <c r="G15" s="131">
        <v>0.32</v>
      </c>
      <c r="H15" s="131">
        <v>0.18</v>
      </c>
      <c r="I15" s="2"/>
      <c r="J15" s="30">
        <f>W6</f>
        <v>0.33333333333333331</v>
      </c>
      <c r="K15" s="30">
        <f>W11</f>
        <v>0.33333333333333331</v>
      </c>
      <c r="L15" s="31"/>
      <c r="V15" s="21" t="s">
        <v>26</v>
      </c>
      <c r="W15" s="132">
        <v>30</v>
      </c>
    </row>
    <row r="16" spans="2:23" ht="15.5" thickTop="1" thickBot="1" x14ac:dyDescent="0.4">
      <c r="B16" s="81" t="s">
        <v>46</v>
      </c>
      <c r="C16" s="16"/>
      <c r="D16" s="58">
        <f t="shared" si="0"/>
        <v>1.4666666666666666</v>
      </c>
      <c r="E16" s="17" t="s">
        <v>9</v>
      </c>
      <c r="F16" s="131">
        <v>0.3</v>
      </c>
      <c r="G16" s="131">
        <v>0.32</v>
      </c>
      <c r="H16" s="131">
        <v>0.18</v>
      </c>
      <c r="I16" s="35"/>
      <c r="J16" s="33">
        <f>W6</f>
        <v>0.33333333333333331</v>
      </c>
      <c r="K16" s="33">
        <f>W11</f>
        <v>0.33333333333333331</v>
      </c>
      <c r="L16" s="32"/>
      <c r="V16" s="23" t="s">
        <v>27</v>
      </c>
      <c r="W16" s="24">
        <f>W14/W15</f>
        <v>0.33333333333333331</v>
      </c>
    </row>
    <row r="17" spans="2:24" ht="15" thickTop="1" x14ac:dyDescent="0.35">
      <c r="V17" s="108"/>
      <c r="W17" s="109" t="s">
        <v>53</v>
      </c>
    </row>
    <row r="18" spans="2:24" ht="15" thickBot="1" x14ac:dyDescent="0.4"/>
    <row r="19" spans="2:24" ht="15" thickBot="1" x14ac:dyDescent="0.4">
      <c r="B19" s="110" t="s">
        <v>57</v>
      </c>
      <c r="C19" s="111"/>
      <c r="D19" s="112"/>
      <c r="F19" s="110" t="s">
        <v>54</v>
      </c>
      <c r="G19" s="111"/>
      <c r="H19" s="111"/>
      <c r="I19" s="111"/>
      <c r="J19" s="111"/>
      <c r="K19" s="111"/>
      <c r="L19" s="111"/>
      <c r="M19" s="111"/>
      <c r="N19" s="111"/>
      <c r="O19" s="111"/>
      <c r="P19" s="111"/>
      <c r="Q19" s="111"/>
      <c r="R19" s="111"/>
      <c r="S19" s="111"/>
      <c r="T19" s="111"/>
      <c r="U19" s="111"/>
      <c r="V19" s="111"/>
      <c r="W19" s="111"/>
      <c r="X19" s="112"/>
    </row>
    <row r="20" spans="2:24" ht="15.5" thickTop="1" thickBot="1" x14ac:dyDescent="0.4">
      <c r="B20" s="115" t="s">
        <v>59</v>
      </c>
      <c r="C20" s="4"/>
      <c r="D20" s="116" t="s">
        <v>51</v>
      </c>
      <c r="F20" s="21" t="s">
        <v>55</v>
      </c>
      <c r="G20" s="4"/>
      <c r="H20" s="4"/>
      <c r="I20" s="4"/>
      <c r="J20" s="4"/>
      <c r="K20" s="4"/>
      <c r="L20" s="4"/>
      <c r="M20" s="4"/>
      <c r="N20" s="4"/>
      <c r="O20" s="4"/>
      <c r="P20" s="4"/>
      <c r="Q20" s="4"/>
      <c r="R20" s="4"/>
      <c r="S20" s="4"/>
      <c r="T20" s="4"/>
      <c r="U20" s="4"/>
      <c r="V20" s="4"/>
      <c r="W20" s="50">
        <v>0.18</v>
      </c>
      <c r="X20" s="5"/>
    </row>
    <row r="21" spans="2:24" ht="15.5" thickTop="1" thickBot="1" x14ac:dyDescent="0.4">
      <c r="B21" s="21" t="s">
        <v>58</v>
      </c>
      <c r="C21" s="4"/>
      <c r="D21" s="134">
        <v>2</v>
      </c>
      <c r="F21" s="23" t="s">
        <v>56</v>
      </c>
      <c r="G21" s="113"/>
      <c r="H21" s="113"/>
      <c r="I21" s="113"/>
      <c r="J21" s="113"/>
      <c r="K21" s="113"/>
      <c r="L21" s="113"/>
      <c r="M21" s="113"/>
      <c r="N21" s="113"/>
      <c r="O21" s="113"/>
      <c r="P21" s="113"/>
      <c r="Q21" s="113"/>
      <c r="R21" s="113"/>
      <c r="S21" s="113"/>
      <c r="T21" s="113"/>
      <c r="U21" s="113"/>
      <c r="V21" s="113"/>
      <c r="W21" s="113"/>
      <c r="X21" s="114"/>
    </row>
    <row r="22" spans="2:24" ht="15" thickTop="1" x14ac:dyDescent="0.35">
      <c r="B22" s="21" t="s">
        <v>73</v>
      </c>
      <c r="C22" s="4"/>
      <c r="D22" s="119">
        <f>D21*11/43/2</f>
        <v>0.2558139534883721</v>
      </c>
    </row>
    <row r="23" spans="2:24" ht="15" thickBot="1" x14ac:dyDescent="0.4">
      <c r="B23" s="21" t="s">
        <v>74</v>
      </c>
      <c r="C23" s="4"/>
      <c r="D23" s="119">
        <f>(D21*11)/43</f>
        <v>0.51162790697674421</v>
      </c>
    </row>
    <row r="24" spans="2:24" ht="15.5" thickTop="1" thickBot="1" x14ac:dyDescent="0.4">
      <c r="B24" s="21" t="s">
        <v>72</v>
      </c>
      <c r="C24" s="4"/>
      <c r="D24" s="134">
        <v>45</v>
      </c>
    </row>
    <row r="25" spans="2:24" ht="15.5" thickTop="1" thickBot="1" x14ac:dyDescent="0.4">
      <c r="B25" s="23" t="s">
        <v>75</v>
      </c>
      <c r="C25" s="113"/>
      <c r="D25" s="118">
        <f>D24/43</f>
        <v>1.0465116279069768</v>
      </c>
    </row>
    <row r="26" spans="2:24" x14ac:dyDescent="0.35">
      <c r="B26" s="2" t="s">
        <v>76</v>
      </c>
    </row>
    <row r="27" spans="2:24" x14ac:dyDescent="0.35">
      <c r="B27" s="2" t="s">
        <v>77</v>
      </c>
    </row>
    <row r="28" spans="2:24" x14ac:dyDescent="0.35">
      <c r="B28" s="2" t="s">
        <v>78</v>
      </c>
    </row>
  </sheetData>
  <sheetProtection algorithmName="SHA-512" hashValue="GpuGz5iaE0Mi6kVzf2RHrtUMPK4OLRFMpP/HCHEYLRwz2FOQqdsGWl3qoU0ffrUc9ItAI7FbaPhccuVxuHSUPw==" saltValue="JyUWHqqkv/xrvQlfNE/oJA==" spinCount="100000" sheet="1" objects="1" scenarios="1"/>
  <mergeCells count="6">
    <mergeCell ref="B2:D2"/>
    <mergeCell ref="J2:L2"/>
    <mergeCell ref="V2:W2"/>
    <mergeCell ref="B1:W1"/>
    <mergeCell ref="F7:I7"/>
    <mergeCell ref="J7:L7"/>
  </mergeCells>
  <pageMargins left="0.7" right="0.7" top="0.75" bottom="0.75" header="0.3" footer="0.3"/>
  <pageSetup orientation="portrait" horizontalDpi="4294967293" verticalDpi="4294967293"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26"/>
  <sheetViews>
    <sheetView zoomScaleNormal="100" workbookViewId="0">
      <selection activeCell="D12" sqref="D12"/>
    </sheetView>
  </sheetViews>
  <sheetFormatPr defaultRowHeight="14.5" x14ac:dyDescent="0.35"/>
  <cols>
    <col min="1" max="1" width="2.453125" customWidth="1"/>
    <col min="3" max="3" width="19.453125" customWidth="1"/>
    <col min="4" max="4" width="14.54296875" customWidth="1"/>
    <col min="5" max="5" width="1.453125" customWidth="1"/>
    <col min="6" max="6" width="11.6328125" customWidth="1"/>
    <col min="7" max="7" width="17.453125" customWidth="1"/>
    <col min="8" max="8" width="11.54296875" hidden="1" customWidth="1"/>
    <col min="9" max="9" width="29.1796875" customWidth="1"/>
    <col min="10" max="10" width="1.08984375" customWidth="1"/>
    <col min="11" max="18" width="8.7265625" hidden="1" customWidth="1"/>
  </cols>
  <sheetData>
    <row r="1" spans="2:31" ht="24" thickBot="1" x14ac:dyDescent="0.6">
      <c r="B1" s="142" t="s">
        <v>0</v>
      </c>
      <c r="C1" s="143"/>
      <c r="D1" s="143"/>
      <c r="E1" s="143"/>
      <c r="F1" s="143"/>
      <c r="G1" s="143"/>
      <c r="H1" s="143"/>
      <c r="I1" s="143"/>
      <c r="J1" s="143"/>
      <c r="K1" s="143"/>
      <c r="L1" s="143"/>
      <c r="M1" s="143"/>
      <c r="N1" s="143"/>
      <c r="O1" s="143"/>
      <c r="P1" s="143"/>
      <c r="Q1" s="143"/>
      <c r="R1" s="143"/>
    </row>
    <row r="2" spans="2:31" ht="21.5" thickBot="1" x14ac:dyDescent="0.55000000000000004">
      <c r="B2" s="149" t="s">
        <v>33</v>
      </c>
      <c r="C2" s="150"/>
      <c r="D2" s="151"/>
      <c r="E2" s="13"/>
      <c r="F2" s="14"/>
      <c r="G2" s="15"/>
      <c r="H2" s="14"/>
      <c r="I2" s="62"/>
      <c r="U2" s="42"/>
      <c r="V2" s="42"/>
      <c r="W2" s="42"/>
      <c r="X2" s="42"/>
      <c r="Y2" s="42"/>
      <c r="Z2" s="42"/>
      <c r="AA2" s="42"/>
      <c r="AB2" s="42"/>
      <c r="AC2" s="42"/>
      <c r="AD2" s="42"/>
    </row>
    <row r="3" spans="2:31" ht="15.5" customHeight="1" x14ac:dyDescent="0.35">
      <c r="B3" s="82" t="s">
        <v>32</v>
      </c>
      <c r="C3" s="2"/>
      <c r="D3" s="3"/>
      <c r="E3" s="9" t="s">
        <v>31</v>
      </c>
      <c r="F3" s="3"/>
      <c r="G3" s="3"/>
      <c r="H3" s="3"/>
      <c r="I3" s="41"/>
    </row>
    <row r="4" spans="2:31" x14ac:dyDescent="0.35">
      <c r="B4" s="83" t="s">
        <v>10</v>
      </c>
      <c r="C4" s="4"/>
      <c r="D4" s="7">
        <f>'Model Input'!D4</f>
        <v>20</v>
      </c>
      <c r="E4" s="10" t="s">
        <v>13</v>
      </c>
      <c r="F4" s="3"/>
      <c r="G4" s="3"/>
      <c r="H4" s="3"/>
      <c r="I4" s="41"/>
      <c r="V4" s="42"/>
      <c r="W4" s="42"/>
      <c r="X4" s="42"/>
      <c r="Y4" s="42"/>
      <c r="Z4" s="42"/>
      <c r="AA4" s="42"/>
      <c r="AB4" s="42"/>
      <c r="AC4" s="42"/>
      <c r="AD4" s="42"/>
      <c r="AE4" s="42"/>
    </row>
    <row r="5" spans="2:31" x14ac:dyDescent="0.35">
      <c r="B5" s="83" t="s">
        <v>15</v>
      </c>
      <c r="C5" s="4"/>
      <c r="D5" s="88">
        <f>'Model Input'!D5</f>
        <v>1</v>
      </c>
      <c r="E5" s="10" t="s">
        <v>16</v>
      </c>
      <c r="F5" s="3"/>
      <c r="G5" s="3"/>
      <c r="H5" s="3"/>
      <c r="I5" s="41"/>
      <c r="U5" s="42"/>
      <c r="V5" s="42"/>
      <c r="W5" s="42"/>
      <c r="X5" s="42"/>
      <c r="Y5" s="42"/>
      <c r="Z5" s="42"/>
      <c r="AA5" s="42"/>
      <c r="AB5" s="42"/>
      <c r="AC5" s="42"/>
      <c r="AD5" s="42"/>
    </row>
    <row r="6" spans="2:31" x14ac:dyDescent="0.35">
      <c r="B6" s="75" t="s">
        <v>11</v>
      </c>
      <c r="C6" s="2"/>
      <c r="D6" s="38">
        <f>'Model Input'!D6</f>
        <v>0.51</v>
      </c>
      <c r="E6" s="10" t="s">
        <v>14</v>
      </c>
      <c r="F6" s="3"/>
      <c r="G6" s="3"/>
      <c r="H6" s="3"/>
      <c r="I6" s="41"/>
      <c r="U6" s="42"/>
      <c r="V6" s="42"/>
      <c r="W6" s="42"/>
      <c r="X6" s="42"/>
      <c r="Y6" s="42"/>
      <c r="Z6" s="42"/>
      <c r="AA6" s="42"/>
      <c r="AB6" s="42"/>
      <c r="AC6" s="42"/>
      <c r="AD6" s="42"/>
    </row>
    <row r="7" spans="2:31" x14ac:dyDescent="0.35">
      <c r="B7" s="84"/>
      <c r="C7" s="2"/>
      <c r="D7" s="3"/>
      <c r="E7" s="3"/>
      <c r="F7" s="3"/>
      <c r="G7" s="3"/>
      <c r="H7" s="3"/>
      <c r="I7" s="41"/>
      <c r="U7" s="42"/>
      <c r="V7" s="42"/>
      <c r="W7" s="42"/>
      <c r="X7" s="42"/>
      <c r="Y7" s="42"/>
      <c r="Z7" s="42"/>
      <c r="AA7" s="42"/>
      <c r="AB7" s="42"/>
      <c r="AC7" s="42"/>
      <c r="AD7" s="42"/>
    </row>
    <row r="8" spans="2:31" ht="58" x14ac:dyDescent="0.35">
      <c r="B8" s="85" t="s">
        <v>2</v>
      </c>
      <c r="C8" s="2"/>
      <c r="D8" s="39" t="s">
        <v>35</v>
      </c>
      <c r="E8" s="40"/>
      <c r="F8" s="40" t="s">
        <v>37</v>
      </c>
      <c r="G8" s="40" t="s">
        <v>34</v>
      </c>
      <c r="H8" s="40"/>
      <c r="I8" s="41" t="s">
        <v>36</v>
      </c>
    </row>
    <row r="9" spans="2:31" x14ac:dyDescent="0.35">
      <c r="B9" s="75" t="s">
        <v>40</v>
      </c>
      <c r="C9" s="2"/>
      <c r="D9" s="51">
        <f>'Model Input'!D10</f>
        <v>0</v>
      </c>
      <c r="E9" s="11"/>
      <c r="F9" s="71">
        <f>(99.57*(D$5^-0.229))/100*D4+(D4*0.0045)</f>
        <v>20.003999999999998</v>
      </c>
      <c r="G9" s="51">
        <f>F9*$D$6</f>
        <v>10.202039999999998</v>
      </c>
      <c r="H9" s="11"/>
      <c r="I9" s="51">
        <f>G9-G$9</f>
        <v>0</v>
      </c>
    </row>
    <row r="10" spans="2:31" x14ac:dyDescent="0.35">
      <c r="B10" s="76" t="s">
        <v>41</v>
      </c>
      <c r="C10" s="4"/>
      <c r="D10" s="53">
        <f>'Model Input'!D11</f>
        <v>0.18</v>
      </c>
      <c r="E10" s="54"/>
      <c r="F10" s="72">
        <f>(102.95*(D$5^-0.155))/100*D4-(D4*0.0295)</f>
        <v>20.000000000000004</v>
      </c>
      <c r="G10" s="53">
        <f t="shared" ref="G10:G15" si="0">F10*$D$6</f>
        <v>10.200000000000003</v>
      </c>
      <c r="H10" s="43"/>
      <c r="I10" s="53">
        <f t="shared" ref="I10:I15" si="1">G10-G$9-D10</f>
        <v>-0.18203999999999559</v>
      </c>
      <c r="S10" s="42"/>
    </row>
    <row r="11" spans="2:31" x14ac:dyDescent="0.35">
      <c r="B11" s="77" t="s">
        <v>42</v>
      </c>
      <c r="C11" s="4"/>
      <c r="D11" s="56">
        <f>'Model Input'!D12</f>
        <v>0.4</v>
      </c>
      <c r="E11" s="54"/>
      <c r="F11" s="73">
        <f>(100.14*(D$5^-0.067))/100*D4-(D4*0.0015)</f>
        <v>19.998000000000001</v>
      </c>
      <c r="G11" s="56">
        <f t="shared" si="0"/>
        <v>10.198980000000001</v>
      </c>
      <c r="H11" s="43"/>
      <c r="I11" s="56">
        <f t="shared" si="1"/>
        <v>-0.40305999999999786</v>
      </c>
      <c r="S11" s="42"/>
    </row>
    <row r="12" spans="2:31" x14ac:dyDescent="0.35">
      <c r="B12" s="78" t="s">
        <v>43</v>
      </c>
      <c r="C12" s="4"/>
      <c r="D12" s="101">
        <f>'Model Input'!D13</f>
        <v>0.70833333333333326</v>
      </c>
      <c r="E12" s="54"/>
      <c r="F12" s="102">
        <f>(102.44*(D$5^-0.172))/100*D4-(D4*0.0245)</f>
        <v>19.998000000000001</v>
      </c>
      <c r="G12" s="101">
        <f t="shared" si="0"/>
        <v>10.198980000000001</v>
      </c>
      <c r="H12" s="103"/>
      <c r="I12" s="101">
        <f t="shared" si="1"/>
        <v>-0.7113933333333311</v>
      </c>
      <c r="S12" s="42"/>
    </row>
    <row r="13" spans="2:31" x14ac:dyDescent="0.35">
      <c r="B13" s="79" t="s">
        <v>44</v>
      </c>
      <c r="C13" s="4"/>
      <c r="D13" s="95">
        <f>'Model Input'!D14</f>
        <v>0.83333333333333326</v>
      </c>
      <c r="E13" s="54"/>
      <c r="F13" s="104">
        <f>(100*(D$5^-0.055))/100*D4</f>
        <v>20</v>
      </c>
      <c r="G13" s="95">
        <f t="shared" si="0"/>
        <v>10.199999999999999</v>
      </c>
      <c r="H13" s="105"/>
      <c r="I13" s="95">
        <f t="shared" si="1"/>
        <v>-0.83537333333333241</v>
      </c>
      <c r="S13" s="42"/>
    </row>
    <row r="14" spans="2:31" x14ac:dyDescent="0.35">
      <c r="B14" s="80" t="s">
        <v>45</v>
      </c>
      <c r="C14" s="4"/>
      <c r="D14" s="58">
        <f>'Model Input'!D15</f>
        <v>1.4666666666666666</v>
      </c>
      <c r="E14" s="54"/>
      <c r="F14" s="74">
        <f>(100.39*(D$5^-0.028))/100*D4-(D4*0.004)</f>
        <v>19.998000000000001</v>
      </c>
      <c r="G14" s="58">
        <f t="shared" si="0"/>
        <v>10.198980000000001</v>
      </c>
      <c r="H14" s="43"/>
      <c r="I14" s="58">
        <f t="shared" si="1"/>
        <v>-1.4697266666666644</v>
      </c>
      <c r="S14" s="42"/>
    </row>
    <row r="15" spans="2:31" x14ac:dyDescent="0.35">
      <c r="B15" s="81" t="s">
        <v>46</v>
      </c>
      <c r="C15" s="16"/>
      <c r="D15" s="58">
        <f>((D10*2)+D14)/3</f>
        <v>0.60888888888888892</v>
      </c>
      <c r="E15" s="60"/>
      <c r="F15" s="74">
        <f>(97.15*(D$5^-0.047))/100*D4+(D4*0.0285)</f>
        <v>20</v>
      </c>
      <c r="G15" s="58">
        <f t="shared" si="0"/>
        <v>10.199999999999999</v>
      </c>
      <c r="H15" s="61"/>
      <c r="I15" s="58">
        <f t="shared" si="1"/>
        <v>-0.61092888888888808</v>
      </c>
    </row>
    <row r="17" spans="4:20" x14ac:dyDescent="0.35">
      <c r="S17" s="36"/>
    </row>
    <row r="18" spans="4:20" x14ac:dyDescent="0.35">
      <c r="T18" s="49"/>
    </row>
    <row r="19" spans="4:20" x14ac:dyDescent="0.35">
      <c r="I19" s="49"/>
    </row>
    <row r="20" spans="4:20" x14ac:dyDescent="0.35">
      <c r="D20" s="43"/>
    </row>
    <row r="21" spans="4:20" x14ac:dyDescent="0.35">
      <c r="D21" s="44"/>
      <c r="T21" s="49"/>
    </row>
    <row r="22" spans="4:20" x14ac:dyDescent="0.35">
      <c r="D22" s="45"/>
    </row>
    <row r="23" spans="4:20" x14ac:dyDescent="0.35">
      <c r="D23" s="46"/>
    </row>
    <row r="24" spans="4:20" x14ac:dyDescent="0.35">
      <c r="D24" s="47"/>
    </row>
    <row r="25" spans="4:20" x14ac:dyDescent="0.35">
      <c r="D25" s="48"/>
    </row>
    <row r="26" spans="4:20" x14ac:dyDescent="0.35">
      <c r="D26" s="48"/>
      <c r="I26" s="49"/>
    </row>
  </sheetData>
  <sheetProtection algorithmName="SHA-512" hashValue="2xKOB2f71cGGYenNCtHXSHaBYMyKU3FINRYBcdsqDFr09hzQY+P7TBwU4/QSR+y1gBsy9VsNeoq5R0oEUEcS+w==" saltValue="z02WHgVUFZA4eIA8AmJs0Q==" spinCount="100000" sheet="1" objects="1" scenarios="1"/>
  <mergeCells count="2">
    <mergeCell ref="B1:R1"/>
    <mergeCell ref="B2:D2"/>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5"/>
  <sheetViews>
    <sheetView zoomScaleNormal="100" workbookViewId="0">
      <selection activeCell="F23" sqref="F23"/>
    </sheetView>
  </sheetViews>
  <sheetFormatPr defaultRowHeight="14.5" x14ac:dyDescent="0.35"/>
  <cols>
    <col min="1" max="1" width="1.36328125" customWidth="1"/>
    <col min="2" max="2" width="27.81640625" customWidth="1"/>
    <col min="13" max="13" width="12.36328125" bestFit="1" customWidth="1"/>
    <col min="14" max="14" width="2.6328125" customWidth="1"/>
  </cols>
  <sheetData>
    <row r="1" spans="2:17" x14ac:dyDescent="0.35">
      <c r="B1" s="69" t="s">
        <v>10</v>
      </c>
      <c r="C1" s="98">
        <f>'Model Input'!D4</f>
        <v>20</v>
      </c>
      <c r="D1" s="98">
        <f>C1</f>
        <v>20</v>
      </c>
      <c r="E1" s="98">
        <f t="shared" ref="E1:L1" si="0">D1</f>
        <v>20</v>
      </c>
      <c r="F1" s="98">
        <f t="shared" si="0"/>
        <v>20</v>
      </c>
      <c r="G1" s="98">
        <f t="shared" si="0"/>
        <v>20</v>
      </c>
      <c r="H1" s="98">
        <f t="shared" si="0"/>
        <v>20</v>
      </c>
      <c r="I1" s="98">
        <f t="shared" si="0"/>
        <v>20</v>
      </c>
      <c r="J1" s="98">
        <f t="shared" si="0"/>
        <v>20</v>
      </c>
      <c r="K1" s="98">
        <f t="shared" si="0"/>
        <v>20</v>
      </c>
      <c r="L1" s="98">
        <f t="shared" si="0"/>
        <v>20</v>
      </c>
    </row>
    <row r="2" spans="2:17" x14ac:dyDescent="0.35">
      <c r="B2" s="69" t="s">
        <v>15</v>
      </c>
      <c r="C2" s="98">
        <f>'Model Input'!D5</f>
        <v>1</v>
      </c>
      <c r="D2" s="98">
        <f>C2+1</f>
        <v>2</v>
      </c>
      <c r="E2" s="98">
        <f t="shared" ref="E2:L2" si="1">D2+1</f>
        <v>3</v>
      </c>
      <c r="F2" s="98">
        <f t="shared" si="1"/>
        <v>4</v>
      </c>
      <c r="G2" s="98">
        <f t="shared" si="1"/>
        <v>5</v>
      </c>
      <c r="H2" s="98">
        <f t="shared" si="1"/>
        <v>6</v>
      </c>
      <c r="I2" s="98">
        <f t="shared" si="1"/>
        <v>7</v>
      </c>
      <c r="J2" s="98">
        <f t="shared" si="1"/>
        <v>8</v>
      </c>
      <c r="K2" s="98">
        <f t="shared" si="1"/>
        <v>9</v>
      </c>
      <c r="L2" s="98">
        <f t="shared" si="1"/>
        <v>10</v>
      </c>
    </row>
    <row r="3" spans="2:17" x14ac:dyDescent="0.35">
      <c r="B3" s="99" t="s">
        <v>11</v>
      </c>
      <c r="C3" s="100">
        <f>'Model Input'!D6</f>
        <v>0.51</v>
      </c>
      <c r="D3" s="100">
        <f>'Model Input'!D6</f>
        <v>0.51</v>
      </c>
      <c r="E3" s="100">
        <f>'Model Input'!D6</f>
        <v>0.51</v>
      </c>
      <c r="F3" s="100">
        <f>'Model Input'!D6</f>
        <v>0.51</v>
      </c>
      <c r="G3" s="100">
        <f>'Model Input'!D6</f>
        <v>0.51</v>
      </c>
      <c r="H3" s="100">
        <f>'Model Input'!D6</f>
        <v>0.51</v>
      </c>
      <c r="I3" s="100">
        <f>'Model Input'!D6</f>
        <v>0.51</v>
      </c>
      <c r="J3" s="100">
        <f>'Model Input'!D6</f>
        <v>0.51</v>
      </c>
      <c r="K3" s="100">
        <f>'Model Input'!D6</f>
        <v>0.51</v>
      </c>
      <c r="L3" s="100">
        <f>'Model Input'!D6</f>
        <v>0.51</v>
      </c>
    </row>
    <row r="4" spans="2:17" x14ac:dyDescent="0.35">
      <c r="B4" s="43"/>
    </row>
    <row r="5" spans="2:17" x14ac:dyDescent="0.35">
      <c r="B5" s="96" t="s">
        <v>39</v>
      </c>
    </row>
    <row r="6" spans="2:17" x14ac:dyDescent="0.35">
      <c r="B6" s="63" t="s">
        <v>38</v>
      </c>
      <c r="C6" s="69">
        <v>1</v>
      </c>
      <c r="D6" s="69">
        <v>2</v>
      </c>
      <c r="E6" s="69">
        <v>3</v>
      </c>
      <c r="F6" s="69">
        <v>4</v>
      </c>
      <c r="G6" s="69">
        <v>5</v>
      </c>
      <c r="H6" s="69">
        <v>6</v>
      </c>
      <c r="I6" s="69">
        <v>7</v>
      </c>
      <c r="J6" s="69">
        <v>8</v>
      </c>
      <c r="K6" s="69">
        <v>9</v>
      </c>
      <c r="L6" s="69">
        <v>10</v>
      </c>
      <c r="M6" s="69" t="s">
        <v>48</v>
      </c>
      <c r="O6" s="69" t="s">
        <v>49</v>
      </c>
    </row>
    <row r="7" spans="2:17" x14ac:dyDescent="0.35">
      <c r="B7" s="64" t="s">
        <v>40</v>
      </c>
      <c r="C7" s="52">
        <f>(99.57*(C2^-0.229))/100*C1+(C1*0.0045)</f>
        <v>20.003999999999998</v>
      </c>
      <c r="D7" s="52">
        <f t="shared" ref="D7:L7" si="2">(99.57*(D2^-0.229))/100*D1+0.09</f>
        <v>17.081144517803708</v>
      </c>
      <c r="E7" s="52">
        <f t="shared" si="2"/>
        <v>15.574519576590012</v>
      </c>
      <c r="F7" s="52">
        <f t="shared" si="2"/>
        <v>14.587287939383902</v>
      </c>
      <c r="G7" s="52">
        <f t="shared" si="2"/>
        <v>13.865087677871722</v>
      </c>
      <c r="H7" s="52">
        <f t="shared" si="2"/>
        <v>13.301796219473816</v>
      </c>
      <c r="I7" s="52">
        <f t="shared" si="2"/>
        <v>12.843548898221663</v>
      </c>
      <c r="J7" s="52">
        <f t="shared" si="2"/>
        <v>12.459464421727663</v>
      </c>
      <c r="K7" s="52">
        <f t="shared" si="2"/>
        <v>12.130290575364027</v>
      </c>
      <c r="L7" s="52">
        <f t="shared" si="2"/>
        <v>11.843264310542107</v>
      </c>
      <c r="M7" s="52">
        <f>AVERAGE(C7:L7)</f>
        <v>14.369040413697864</v>
      </c>
      <c r="O7" s="90">
        <f>'Overall Model Results'!D9</f>
        <v>0</v>
      </c>
    </row>
    <row r="8" spans="2:17" x14ac:dyDescent="0.35">
      <c r="B8" s="65" t="s">
        <v>41</v>
      </c>
      <c r="C8" s="55">
        <f>(102.95*(C2^-0.155))/100*C1-(C2*0.0295)</f>
        <v>20.560500000000005</v>
      </c>
      <c r="D8" s="55">
        <f t="shared" ref="D8:L8" si="3">(102.95*(D2^-0.155))/100*D1-0.59</f>
        <v>17.902545557680209</v>
      </c>
      <c r="E8" s="55">
        <f t="shared" si="3"/>
        <v>16.776110181674934</v>
      </c>
      <c r="F8" s="55">
        <f t="shared" si="3"/>
        <v>16.018753822383584</v>
      </c>
      <c r="G8" s="55">
        <f t="shared" si="3"/>
        <v>15.454123486403919</v>
      </c>
      <c r="H8" s="55">
        <f t="shared" si="3"/>
        <v>15.007065745231561</v>
      </c>
      <c r="I8" s="55">
        <f t="shared" si="3"/>
        <v>14.638816386067719</v>
      </c>
      <c r="J8" s="55">
        <f t="shared" si="3"/>
        <v>14.326859481142479</v>
      </c>
      <c r="K8" s="55">
        <f t="shared" si="3"/>
        <v>14.057002566395042</v>
      </c>
      <c r="L8" s="55">
        <f t="shared" si="3"/>
        <v>13.819746697686812</v>
      </c>
      <c r="M8" s="55">
        <f t="shared" ref="M8:M13" si="4">AVERAGE(C8:L8)</f>
        <v>15.85615239246663</v>
      </c>
      <c r="O8" s="91">
        <f>'Overall Model Results'!D10</f>
        <v>0.18</v>
      </c>
    </row>
    <row r="9" spans="2:17" x14ac:dyDescent="0.35">
      <c r="B9" s="66" t="s">
        <v>42</v>
      </c>
      <c r="C9" s="57">
        <f>(100.14*(C2^-0.067))/100*C1</f>
        <v>20.028000000000002</v>
      </c>
      <c r="D9" s="57">
        <f t="shared" ref="D9:L9" si="5">(100.14*(D2^-0.067))/100*D1-0.03</f>
        <v>19.089149671190249</v>
      </c>
      <c r="E9" s="57">
        <f t="shared" si="5"/>
        <v>18.576747265094898</v>
      </c>
      <c r="F9" s="57">
        <f t="shared" si="5"/>
        <v>18.221542048600668</v>
      </c>
      <c r="G9" s="57">
        <f t="shared" si="5"/>
        <v>17.950699890356315</v>
      </c>
      <c r="H9" s="57">
        <f t="shared" si="5"/>
        <v>17.732391944046295</v>
      </c>
      <c r="I9" s="57">
        <f t="shared" si="5"/>
        <v>17.549884363077556</v>
      </c>
      <c r="J9" s="57">
        <f t="shared" si="5"/>
        <v>17.393305580048857</v>
      </c>
      <c r="K9" s="57">
        <f t="shared" si="5"/>
        <v>17.256351297539265</v>
      </c>
      <c r="L9" s="57">
        <f t="shared" si="5"/>
        <v>17.134753964273841</v>
      </c>
      <c r="M9" s="57">
        <f t="shared" si="4"/>
        <v>18.093282602422796</v>
      </c>
      <c r="O9" s="92">
        <f>'Overall Model Results'!D11</f>
        <v>0.4</v>
      </c>
    </row>
    <row r="10" spans="2:17" x14ac:dyDescent="0.35">
      <c r="B10" s="67" t="s">
        <v>43</v>
      </c>
      <c r="C10" s="106">
        <f>(102.44*(C2^-0.172))/100*C1</f>
        <v>20.488</v>
      </c>
      <c r="D10" s="106">
        <f t="shared" ref="D10:L10" si="6">(102.44*(D2^-0.172))/100*D1-0.49</f>
        <v>17.695381077977469</v>
      </c>
      <c r="E10" s="106">
        <f t="shared" si="6"/>
        <v>16.470346070338834</v>
      </c>
      <c r="F10" s="106">
        <f t="shared" si="6"/>
        <v>15.651550417379005</v>
      </c>
      <c r="G10" s="106">
        <f t="shared" si="6"/>
        <v>15.043764785348598</v>
      </c>
      <c r="H10" s="106">
        <f t="shared" si="6"/>
        <v>14.564195456046926</v>
      </c>
      <c r="I10" s="106">
        <f t="shared" si="6"/>
        <v>14.170294768669082</v>
      </c>
      <c r="J10" s="106">
        <f t="shared" si="6"/>
        <v>13.8374231515728</v>
      </c>
      <c r="K10" s="106">
        <f t="shared" si="6"/>
        <v>13.550088775168783</v>
      </c>
      <c r="L10" s="106">
        <f t="shared" si="6"/>
        <v>13.297945733953101</v>
      </c>
      <c r="M10" s="106">
        <f t="shared" si="4"/>
        <v>15.476899023645458</v>
      </c>
      <c r="O10" s="107">
        <f>'Overall Model Results'!D12</f>
        <v>0.70833333333333326</v>
      </c>
    </row>
    <row r="11" spans="2:17" x14ac:dyDescent="0.35">
      <c r="B11" s="87" t="s">
        <v>44</v>
      </c>
      <c r="C11" s="86">
        <f>(100*(C2^-0.055))/100*C1</f>
        <v>20</v>
      </c>
      <c r="D11" s="86">
        <f t="shared" ref="D11:L11" si="7">(100*(D2^-0.055))/100*D1</f>
        <v>19.251888862035031</v>
      </c>
      <c r="E11" s="86">
        <f t="shared" si="7"/>
        <v>18.827312303636266</v>
      </c>
      <c r="F11" s="86">
        <f t="shared" si="7"/>
        <v>18.531761237807416</v>
      </c>
      <c r="G11" s="86">
        <f t="shared" si="7"/>
        <v>18.305712843490465</v>
      </c>
      <c r="H11" s="86">
        <f t="shared" si="7"/>
        <v>18.123066202021501</v>
      </c>
      <c r="I11" s="86">
        <f t="shared" si="7"/>
        <v>17.970063156762826</v>
      </c>
      <c r="J11" s="86">
        <f t="shared" si="7"/>
        <v>17.838570388401852</v>
      </c>
      <c r="K11" s="86">
        <f t="shared" si="7"/>
        <v>17.723384428932675</v>
      </c>
      <c r="L11" s="86">
        <f t="shared" si="7"/>
        <v>17.62097746016028</v>
      </c>
      <c r="M11" s="86">
        <f t="shared" si="4"/>
        <v>18.419273688324832</v>
      </c>
      <c r="O11" s="93">
        <f>'Overall Model Results'!D13</f>
        <v>0.83333333333333326</v>
      </c>
    </row>
    <row r="12" spans="2:17" x14ac:dyDescent="0.35">
      <c r="B12" s="68" t="s">
        <v>45</v>
      </c>
      <c r="C12" s="59">
        <f>(100.39*(C2^-0.028))/100*C1</f>
        <v>20.077999999999999</v>
      </c>
      <c r="D12" s="59">
        <f t="shared" ref="D12:L12" si="8">(100.39*(D2^-0.028))/100*D1-0.08</f>
        <v>19.612080842082136</v>
      </c>
      <c r="E12" s="59">
        <f t="shared" si="8"/>
        <v>19.389780473142661</v>
      </c>
      <c r="F12" s="59">
        <f t="shared" si="8"/>
        <v>19.233579434759349</v>
      </c>
      <c r="G12" s="59">
        <f t="shared" si="8"/>
        <v>19.113284010469666</v>
      </c>
      <c r="H12" s="59">
        <f t="shared" si="8"/>
        <v>19.015551900324606</v>
      </c>
      <c r="I12" s="59">
        <f t="shared" si="8"/>
        <v>18.933308932737013</v>
      </c>
      <c r="J12" s="59">
        <f t="shared" si="8"/>
        <v>18.862353201477045</v>
      </c>
      <c r="K12" s="59">
        <f t="shared" si="8"/>
        <v>18.799985639623831</v>
      </c>
      <c r="L12" s="59">
        <f t="shared" si="8"/>
        <v>18.744369975057822</v>
      </c>
      <c r="M12" s="59">
        <f t="shared" si="4"/>
        <v>19.178229440967414</v>
      </c>
      <c r="O12" s="94">
        <f>'Overall Model Results'!D14</f>
        <v>1.4666666666666666</v>
      </c>
    </row>
    <row r="13" spans="2:17" x14ac:dyDescent="0.35">
      <c r="B13" s="68" t="s">
        <v>46</v>
      </c>
      <c r="C13" s="59">
        <f>(97.15*(C2^-0.047))/100*C1</f>
        <v>19.43</v>
      </c>
      <c r="D13" s="59">
        <f t="shared" ref="D13:L13" si="9">(97.15*(D2^-0.047))/100*D1+0.57</f>
        <v>19.377210732545322</v>
      </c>
      <c r="E13" s="59">
        <f t="shared" si="9"/>
        <v>19.022197808832107</v>
      </c>
      <c r="F13" s="59">
        <f t="shared" si="9"/>
        <v>18.774383712731229</v>
      </c>
      <c r="G13" s="59">
        <f t="shared" si="9"/>
        <v>18.584458428688169</v>
      </c>
      <c r="H13" s="59">
        <f t="shared" si="9"/>
        <v>18.430750008714178</v>
      </c>
      <c r="I13" s="59">
        <f t="shared" si="9"/>
        <v>18.301815047355284</v>
      </c>
      <c r="J13" s="59">
        <f t="shared" si="9"/>
        <v>18.19087909117097</v>
      </c>
      <c r="K13" s="59">
        <f t="shared" si="9"/>
        <v>18.093602880919633</v>
      </c>
      <c r="L13" s="59">
        <f t="shared" si="9"/>
        <v>18.007041477149546</v>
      </c>
      <c r="M13" s="59">
        <f t="shared" si="4"/>
        <v>18.621233918810645</v>
      </c>
      <c r="O13" s="94">
        <f>'Overall Model Results'!D15</f>
        <v>0.60888888888888892</v>
      </c>
      <c r="Q13" s="89"/>
    </row>
    <row r="14" spans="2:17" x14ac:dyDescent="0.35">
      <c r="Q14" s="89"/>
    </row>
    <row r="15" spans="2:17" x14ac:dyDescent="0.35">
      <c r="C15" s="70"/>
      <c r="D15" s="70"/>
      <c r="E15" s="70"/>
      <c r="F15" s="70"/>
      <c r="G15" s="70"/>
      <c r="H15" s="70"/>
      <c r="I15" s="70"/>
      <c r="J15" s="70"/>
      <c r="K15" s="70"/>
      <c r="L15" s="70"/>
    </row>
    <row r="16" spans="2:17" x14ac:dyDescent="0.35">
      <c r="B16" s="96" t="s">
        <v>50</v>
      </c>
      <c r="C16" s="97"/>
    </row>
    <row r="17" spans="2:13" x14ac:dyDescent="0.35">
      <c r="B17" s="63" t="s">
        <v>38</v>
      </c>
      <c r="C17" s="69">
        <v>1</v>
      </c>
      <c r="D17" s="69">
        <v>2</v>
      </c>
      <c r="E17" s="69">
        <v>3</v>
      </c>
      <c r="F17" s="69">
        <v>4</v>
      </c>
      <c r="G17" s="69">
        <v>5</v>
      </c>
      <c r="H17" s="69">
        <v>6</v>
      </c>
      <c r="I17" s="69">
        <v>7</v>
      </c>
      <c r="J17" s="69">
        <v>8</v>
      </c>
      <c r="K17" s="69">
        <v>9</v>
      </c>
      <c r="L17" s="69">
        <v>10</v>
      </c>
      <c r="M17" s="69" t="s">
        <v>48</v>
      </c>
    </row>
    <row r="18" spans="2:13" x14ac:dyDescent="0.35">
      <c r="B18" s="64" t="s">
        <v>40</v>
      </c>
      <c r="C18" s="90">
        <f>C7*C3-$O7</f>
        <v>10.202039999999998</v>
      </c>
      <c r="D18" s="90">
        <f t="shared" ref="D18:L18" si="10">D7*D3-$O7</f>
        <v>8.7113837040798909</v>
      </c>
      <c r="E18" s="90">
        <f t="shared" si="10"/>
        <v>7.9430049840609058</v>
      </c>
      <c r="F18" s="90">
        <f t="shared" si="10"/>
        <v>7.4395168490857904</v>
      </c>
      <c r="G18" s="90">
        <f t="shared" si="10"/>
        <v>7.0711947157145785</v>
      </c>
      <c r="H18" s="90">
        <f t="shared" si="10"/>
        <v>6.7839160719316469</v>
      </c>
      <c r="I18" s="90">
        <f t="shared" si="10"/>
        <v>6.5502099380930483</v>
      </c>
      <c r="J18" s="90">
        <f t="shared" si="10"/>
        <v>6.3543268550811085</v>
      </c>
      <c r="K18" s="90">
        <f t="shared" si="10"/>
        <v>6.1864481934356537</v>
      </c>
      <c r="L18" s="90">
        <f t="shared" si="10"/>
        <v>6.0400647983764744</v>
      </c>
      <c r="M18" s="90">
        <f>AVERAGE(C18:L18)</f>
        <v>7.3282106109859102</v>
      </c>
    </row>
    <row r="19" spans="2:13" x14ac:dyDescent="0.35">
      <c r="B19" s="65" t="s">
        <v>41</v>
      </c>
      <c r="C19" s="91">
        <f>C8*C3-$O8</f>
        <v>10.305855000000003</v>
      </c>
      <c r="D19" s="91">
        <f t="shared" ref="D19:L19" si="11">D8*D3-$O8</f>
        <v>8.9502982344169073</v>
      </c>
      <c r="E19" s="91">
        <f t="shared" si="11"/>
        <v>8.3758161926542165</v>
      </c>
      <c r="F19" s="91">
        <f t="shared" si="11"/>
        <v>7.9895644494156279</v>
      </c>
      <c r="G19" s="91">
        <f t="shared" si="11"/>
        <v>7.7016029780659991</v>
      </c>
      <c r="H19" s="91">
        <f t="shared" si="11"/>
        <v>7.4736035300680967</v>
      </c>
      <c r="I19" s="91">
        <f t="shared" si="11"/>
        <v>7.2857963568945365</v>
      </c>
      <c r="J19" s="91">
        <f t="shared" si="11"/>
        <v>7.126698335382665</v>
      </c>
      <c r="K19" s="91">
        <f t="shared" si="11"/>
        <v>6.9890713088614715</v>
      </c>
      <c r="L19" s="91">
        <f t="shared" si="11"/>
        <v>6.8680708158202748</v>
      </c>
      <c r="M19" s="91">
        <f t="shared" ref="M19:M24" si="12">AVERAGE(C19:L19)</f>
        <v>7.9066377201579794</v>
      </c>
    </row>
    <row r="20" spans="2:13" x14ac:dyDescent="0.35">
      <c r="B20" s="66" t="s">
        <v>42</v>
      </c>
      <c r="C20" s="92">
        <f>C9*C3-$O9</f>
        <v>9.8142800000000001</v>
      </c>
      <c r="D20" s="92">
        <f t="shared" ref="D20:L20" si="13">D9*D3-$O9</f>
        <v>9.3354663323070266</v>
      </c>
      <c r="E20" s="92">
        <f t="shared" si="13"/>
        <v>9.0741411051983984</v>
      </c>
      <c r="F20" s="92">
        <f t="shared" si="13"/>
        <v>8.8929864447863398</v>
      </c>
      <c r="G20" s="92">
        <f t="shared" si="13"/>
        <v>8.7548569440817197</v>
      </c>
      <c r="H20" s="92">
        <f t="shared" si="13"/>
        <v>8.64351989146361</v>
      </c>
      <c r="I20" s="92">
        <f t="shared" si="13"/>
        <v>8.5504410251695528</v>
      </c>
      <c r="J20" s="92">
        <f t="shared" si="13"/>
        <v>8.4705858458249175</v>
      </c>
      <c r="K20" s="92">
        <f t="shared" si="13"/>
        <v>8.4007391617450242</v>
      </c>
      <c r="L20" s="92">
        <f t="shared" si="13"/>
        <v>8.3387245217796586</v>
      </c>
      <c r="M20" s="92">
        <f t="shared" si="12"/>
        <v>8.827574127235625</v>
      </c>
    </row>
    <row r="21" spans="2:13" x14ac:dyDescent="0.35">
      <c r="B21" s="67" t="s">
        <v>43</v>
      </c>
      <c r="C21" s="107">
        <f>C10*C3-$O10</f>
        <v>9.7405466666666669</v>
      </c>
      <c r="D21" s="107">
        <f t="shared" ref="D21:L21" si="14">D10*D3-$O10</f>
        <v>8.3163110164351757</v>
      </c>
      <c r="E21" s="107">
        <f t="shared" si="14"/>
        <v>7.6915431625394719</v>
      </c>
      <c r="F21" s="107">
        <f t="shared" si="14"/>
        <v>7.2739573795299597</v>
      </c>
      <c r="G21" s="107">
        <f t="shared" si="14"/>
        <v>6.9639867071944517</v>
      </c>
      <c r="H21" s="107">
        <f t="shared" si="14"/>
        <v>6.7194063492505993</v>
      </c>
      <c r="I21" s="107">
        <f t="shared" si="14"/>
        <v>6.5185169986878995</v>
      </c>
      <c r="J21" s="107">
        <f t="shared" si="14"/>
        <v>6.3487524739687951</v>
      </c>
      <c r="K21" s="107">
        <f t="shared" si="14"/>
        <v>6.2022119420027462</v>
      </c>
      <c r="L21" s="107">
        <f t="shared" si="14"/>
        <v>6.0736189909827489</v>
      </c>
      <c r="M21" s="107">
        <f t="shared" si="12"/>
        <v>7.1848851687258515</v>
      </c>
    </row>
    <row r="22" spans="2:13" x14ac:dyDescent="0.35">
      <c r="B22" s="87" t="s">
        <v>44</v>
      </c>
      <c r="C22" s="93">
        <f>C11*C3-$O11</f>
        <v>9.3666666666666654</v>
      </c>
      <c r="D22" s="93">
        <f t="shared" ref="D22:L22" si="15">D11*D3-$O11</f>
        <v>8.985129986304532</v>
      </c>
      <c r="E22" s="93">
        <f t="shared" si="15"/>
        <v>8.768595941521161</v>
      </c>
      <c r="F22" s="93">
        <f t="shared" si="15"/>
        <v>8.6178648979484489</v>
      </c>
      <c r="G22" s="93">
        <f t="shared" si="15"/>
        <v>8.5025802168468037</v>
      </c>
      <c r="H22" s="93">
        <f t="shared" si="15"/>
        <v>8.4094304296976325</v>
      </c>
      <c r="I22" s="93">
        <f t="shared" si="15"/>
        <v>8.3313988766157081</v>
      </c>
      <c r="J22" s="93">
        <f t="shared" si="15"/>
        <v>8.2643375647516102</v>
      </c>
      <c r="K22" s="93">
        <f t="shared" si="15"/>
        <v>8.2055927254223313</v>
      </c>
      <c r="L22" s="93">
        <f t="shared" si="15"/>
        <v>8.1533651713484083</v>
      </c>
      <c r="M22" s="93">
        <f t="shared" si="12"/>
        <v>8.5604962477123312</v>
      </c>
    </row>
    <row r="23" spans="2:13" x14ac:dyDescent="0.35">
      <c r="B23" s="68" t="s">
        <v>45</v>
      </c>
      <c r="C23" s="94">
        <f>C12*C3-$O12</f>
        <v>8.7731133333333329</v>
      </c>
      <c r="D23" s="94">
        <f t="shared" ref="D23:L23" si="16">D12*D3-$O12</f>
        <v>8.5354945627952237</v>
      </c>
      <c r="E23" s="94">
        <f t="shared" si="16"/>
        <v>8.4221213746360899</v>
      </c>
      <c r="F23" s="94">
        <f t="shared" si="16"/>
        <v>8.3424588450606016</v>
      </c>
      <c r="G23" s="94">
        <f t="shared" si="16"/>
        <v>8.2811081786728629</v>
      </c>
      <c r="H23" s="94">
        <f t="shared" si="16"/>
        <v>8.2312648024988828</v>
      </c>
      <c r="I23" s="94">
        <f t="shared" si="16"/>
        <v>8.1893208890292097</v>
      </c>
      <c r="J23" s="94">
        <f t="shared" si="16"/>
        <v>8.1531334660866257</v>
      </c>
      <c r="K23" s="94">
        <f t="shared" si="16"/>
        <v>8.1213260095414874</v>
      </c>
      <c r="L23" s="94">
        <f t="shared" si="16"/>
        <v>8.0929620206128217</v>
      </c>
      <c r="M23" s="94">
        <f t="shared" si="12"/>
        <v>8.3142303482267135</v>
      </c>
    </row>
    <row r="24" spans="2:13" x14ac:dyDescent="0.35">
      <c r="B24" s="68" t="s">
        <v>46</v>
      </c>
      <c r="C24" s="94">
        <f>C13*C3-$O13</f>
        <v>9.3004111111111119</v>
      </c>
      <c r="D24" s="94">
        <f t="shared" ref="D24:L24" si="17">D13*D3-$O13</f>
        <v>9.2734885847092254</v>
      </c>
      <c r="E24" s="94">
        <f t="shared" si="17"/>
        <v>9.0924319936154863</v>
      </c>
      <c r="F24" s="94">
        <f t="shared" si="17"/>
        <v>8.9660468046040389</v>
      </c>
      <c r="G24" s="94">
        <f t="shared" si="17"/>
        <v>8.8691849097420778</v>
      </c>
      <c r="H24" s="94">
        <f t="shared" si="17"/>
        <v>8.7907936155553426</v>
      </c>
      <c r="I24" s="94">
        <f t="shared" si="17"/>
        <v>8.7250367852623061</v>
      </c>
      <c r="J24" s="94">
        <f t="shared" si="17"/>
        <v>8.6684594476083063</v>
      </c>
      <c r="K24" s="94">
        <f t="shared" si="17"/>
        <v>8.6188485803801242</v>
      </c>
      <c r="L24" s="94">
        <f t="shared" si="17"/>
        <v>8.5747022644573807</v>
      </c>
      <c r="M24" s="94">
        <f t="shared" si="12"/>
        <v>8.8879404097045409</v>
      </c>
    </row>
    <row r="27" spans="2:13" x14ac:dyDescent="0.35">
      <c r="B27" s="96" t="s">
        <v>52</v>
      </c>
      <c r="C27" s="97"/>
      <c r="D27" s="96"/>
      <c r="E27" s="96"/>
    </row>
    <row r="28" spans="2:13" x14ac:dyDescent="0.35">
      <c r="B28" s="63" t="s">
        <v>38</v>
      </c>
      <c r="C28" s="69">
        <v>1</v>
      </c>
      <c r="D28" s="69">
        <v>2</v>
      </c>
      <c r="E28" s="69">
        <v>3</v>
      </c>
      <c r="F28" s="69">
        <v>4</v>
      </c>
      <c r="G28" s="69">
        <v>5</v>
      </c>
      <c r="H28" s="69">
        <v>6</v>
      </c>
      <c r="I28" s="69">
        <v>7</v>
      </c>
      <c r="J28" s="69">
        <v>8</v>
      </c>
      <c r="K28" s="69">
        <v>9</v>
      </c>
      <c r="L28" s="69">
        <v>10</v>
      </c>
      <c r="M28" s="69" t="s">
        <v>48</v>
      </c>
    </row>
    <row r="29" spans="2:13" x14ac:dyDescent="0.35">
      <c r="B29" s="64" t="s">
        <v>40</v>
      </c>
      <c r="C29" s="90">
        <v>0</v>
      </c>
      <c r="D29" s="90">
        <v>0</v>
      </c>
      <c r="E29" s="90">
        <v>0</v>
      </c>
      <c r="F29" s="90">
        <v>0</v>
      </c>
      <c r="G29" s="90">
        <v>0</v>
      </c>
      <c r="H29" s="90">
        <v>0</v>
      </c>
      <c r="I29" s="90">
        <v>0</v>
      </c>
      <c r="J29" s="90">
        <v>0</v>
      </c>
      <c r="K29" s="90">
        <v>0</v>
      </c>
      <c r="L29" s="90">
        <v>0</v>
      </c>
      <c r="M29" s="90">
        <v>0</v>
      </c>
    </row>
    <row r="30" spans="2:13" x14ac:dyDescent="0.35">
      <c r="B30" s="65" t="s">
        <v>41</v>
      </c>
      <c r="C30" s="91">
        <f>C19-C18</f>
        <v>0.10381500000000443</v>
      </c>
      <c r="D30" s="91">
        <f t="shared" ref="D30:L30" si="18">D19-D18</f>
        <v>0.23891453033701637</v>
      </c>
      <c r="E30" s="91">
        <f t="shared" si="18"/>
        <v>0.43281120859331068</v>
      </c>
      <c r="F30" s="91">
        <f t="shared" si="18"/>
        <v>0.55004760032983757</v>
      </c>
      <c r="G30" s="91">
        <f t="shared" si="18"/>
        <v>0.63040826235142067</v>
      </c>
      <c r="H30" s="91">
        <f t="shared" si="18"/>
        <v>0.68968745813644983</v>
      </c>
      <c r="I30" s="91">
        <f t="shared" si="18"/>
        <v>0.73558641880148823</v>
      </c>
      <c r="J30" s="91">
        <f t="shared" si="18"/>
        <v>0.77237148030155645</v>
      </c>
      <c r="K30" s="91">
        <f t="shared" si="18"/>
        <v>0.80262311542581788</v>
      </c>
      <c r="L30" s="91">
        <f t="shared" si="18"/>
        <v>0.82800601744380042</v>
      </c>
      <c r="M30" s="91">
        <f t="shared" ref="M30:M35" si="19">AVERAGE(C30:L30)</f>
        <v>0.5784271091720703</v>
      </c>
    </row>
    <row r="31" spans="2:13" x14ac:dyDescent="0.35">
      <c r="B31" s="66" t="s">
        <v>42</v>
      </c>
      <c r="C31" s="92">
        <f>C20-C18</f>
        <v>-0.38775999999999833</v>
      </c>
      <c r="D31" s="92">
        <f t="shared" ref="D31:L31" si="20">D20-D18</f>
        <v>0.62408262822713567</v>
      </c>
      <c r="E31" s="92">
        <f t="shared" si="20"/>
        <v>1.1311361211374926</v>
      </c>
      <c r="F31" s="92">
        <f t="shared" si="20"/>
        <v>1.4534695957005495</v>
      </c>
      <c r="G31" s="92">
        <f t="shared" si="20"/>
        <v>1.6836622283671412</v>
      </c>
      <c r="H31" s="92">
        <f t="shared" si="20"/>
        <v>1.8596038195319631</v>
      </c>
      <c r="I31" s="92">
        <f t="shared" si="20"/>
        <v>2.0002310870765045</v>
      </c>
      <c r="J31" s="92">
        <f t="shared" si="20"/>
        <v>2.116258990743809</v>
      </c>
      <c r="K31" s="92">
        <f t="shared" si="20"/>
        <v>2.2142909683093706</v>
      </c>
      <c r="L31" s="92">
        <f t="shared" si="20"/>
        <v>2.2986597234031843</v>
      </c>
      <c r="M31" s="92">
        <f t="shared" si="19"/>
        <v>1.4993635162497152</v>
      </c>
    </row>
    <row r="32" spans="2:13" x14ac:dyDescent="0.35">
      <c r="B32" s="67" t="s">
        <v>43</v>
      </c>
      <c r="C32" s="107">
        <f>C21-C18</f>
        <v>-0.46149333333333153</v>
      </c>
      <c r="D32" s="107">
        <f t="shared" ref="D32:L32" si="21">D21-D18</f>
        <v>-0.39507268764471526</v>
      </c>
      <c r="E32" s="107">
        <f t="shared" si="21"/>
        <v>-0.25146182152143393</v>
      </c>
      <c r="F32" s="107">
        <f t="shared" si="21"/>
        <v>-0.16555946955583067</v>
      </c>
      <c r="G32" s="107">
        <f t="shared" si="21"/>
        <v>-0.1072080085201268</v>
      </c>
      <c r="H32" s="107">
        <f t="shared" si="21"/>
        <v>-6.4509722681047599E-2</v>
      </c>
      <c r="I32" s="107">
        <f t="shared" si="21"/>
        <v>-3.1692939405148834E-2</v>
      </c>
      <c r="J32" s="107">
        <f t="shared" si="21"/>
        <v>-5.5743811123134535E-3</v>
      </c>
      <c r="K32" s="107">
        <f t="shared" si="21"/>
        <v>1.5763748567092506E-2</v>
      </c>
      <c r="L32" s="107">
        <f t="shared" si="21"/>
        <v>3.3554192606274569E-2</v>
      </c>
      <c r="M32" s="107">
        <f t="shared" si="19"/>
        <v>-0.14332544226005811</v>
      </c>
    </row>
    <row r="33" spans="2:13" x14ac:dyDescent="0.35">
      <c r="B33" s="87" t="s">
        <v>44</v>
      </c>
      <c r="C33" s="93">
        <f>C22-C18</f>
        <v>-0.83537333333333308</v>
      </c>
      <c r="D33" s="93">
        <f t="shared" ref="D33:L33" si="22">D22-D18</f>
        <v>0.27374628222464104</v>
      </c>
      <c r="E33" s="93">
        <f t="shared" si="22"/>
        <v>0.82559095746025513</v>
      </c>
      <c r="F33" s="93">
        <f t="shared" si="22"/>
        <v>1.1783480488626585</v>
      </c>
      <c r="G33" s="93">
        <f t="shared" si="22"/>
        <v>1.4313855011322252</v>
      </c>
      <c r="H33" s="93">
        <f t="shared" si="22"/>
        <v>1.6255143577659856</v>
      </c>
      <c r="I33" s="93">
        <f t="shared" si="22"/>
        <v>1.7811889385226598</v>
      </c>
      <c r="J33" s="93">
        <f t="shared" si="22"/>
        <v>1.9100107096705017</v>
      </c>
      <c r="K33" s="93">
        <f t="shared" si="22"/>
        <v>2.0191445319866776</v>
      </c>
      <c r="L33" s="93">
        <f t="shared" si="22"/>
        <v>2.113300372971934</v>
      </c>
      <c r="M33" s="93">
        <f t="shared" si="19"/>
        <v>1.2322856367264206</v>
      </c>
    </row>
    <row r="34" spans="2:13" x14ac:dyDescent="0.35">
      <c r="B34" s="68" t="s">
        <v>45</v>
      </c>
      <c r="C34" s="94">
        <f>C23-C18</f>
        <v>-1.4289266666666656</v>
      </c>
      <c r="D34" s="94">
        <f t="shared" ref="D34:L34" si="23">D23-D18</f>
        <v>-0.17588914128466726</v>
      </c>
      <c r="E34" s="94">
        <f t="shared" si="23"/>
        <v>0.47911639057518407</v>
      </c>
      <c r="F34" s="94">
        <f t="shared" si="23"/>
        <v>0.90294199597481128</v>
      </c>
      <c r="G34" s="94">
        <f t="shared" si="23"/>
        <v>1.2099134629582844</v>
      </c>
      <c r="H34" s="94">
        <f t="shared" si="23"/>
        <v>1.4473487305672359</v>
      </c>
      <c r="I34" s="94">
        <f t="shared" si="23"/>
        <v>1.6391109509361614</v>
      </c>
      <c r="J34" s="94">
        <f t="shared" si="23"/>
        <v>1.7988066110055172</v>
      </c>
      <c r="K34" s="94">
        <f t="shared" si="23"/>
        <v>1.9348778161058338</v>
      </c>
      <c r="L34" s="94">
        <f t="shared" si="23"/>
        <v>2.0528972222363473</v>
      </c>
      <c r="M34" s="94">
        <f t="shared" si="19"/>
        <v>0.98601973724080416</v>
      </c>
    </row>
    <row r="35" spans="2:13" x14ac:dyDescent="0.35">
      <c r="B35" s="68" t="s">
        <v>46</v>
      </c>
      <c r="C35" s="94">
        <f>C24-C18</f>
        <v>-0.90162888888888659</v>
      </c>
      <c r="D35" s="94">
        <f t="shared" ref="D35:L35" si="24">D24-D18</f>
        <v>0.5621048806293345</v>
      </c>
      <c r="E35" s="94">
        <f t="shared" si="24"/>
        <v>1.1494270095545804</v>
      </c>
      <c r="F35" s="94">
        <f t="shared" si="24"/>
        <v>1.5265299555182485</v>
      </c>
      <c r="G35" s="94">
        <f t="shared" si="24"/>
        <v>1.7979901940274994</v>
      </c>
      <c r="H35" s="94">
        <f t="shared" si="24"/>
        <v>2.0068775436236956</v>
      </c>
      <c r="I35" s="94">
        <f t="shared" si="24"/>
        <v>2.1748268471692578</v>
      </c>
      <c r="J35" s="94">
        <f t="shared" si="24"/>
        <v>2.3141325925271978</v>
      </c>
      <c r="K35" s="94">
        <f t="shared" si="24"/>
        <v>2.4324003869444706</v>
      </c>
      <c r="L35" s="94">
        <f t="shared" si="24"/>
        <v>2.5346374660809063</v>
      </c>
      <c r="M35" s="94">
        <f t="shared" si="19"/>
        <v>1.5597297987186305</v>
      </c>
    </row>
  </sheetData>
  <sheetProtection algorithmName="SHA-512" hashValue="YQO5cd0iuVABQ0gvBOFso9l5vaVYErZtXwjv5pHtKfW4OlpdhVHUQC9WMzsLKGUVoIasJcKskI9GX8mDdQYw1A==" saltValue="P8AwqOR2deKXgU9XXmJ3mw=="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C24" sqref="C24"/>
    </sheetView>
  </sheetViews>
  <sheetFormatPr defaultRowHeight="14.5" x14ac:dyDescent="0.35"/>
  <sheetData/>
  <sheetProtection algorithmName="SHA-512" hashValue="kH0KuHbsfWk69UY383zNkvjevguy/eWdtJYgia6YZc6Q/fXNULHOal6x8OmHyYWf4MLw25FjHKy04Y9tWfhQcg==" saltValue="9I9l00l716kmu/UM0XtVUA=="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 - START HERE</vt:lpstr>
      <vt:lpstr>Model Input</vt:lpstr>
      <vt:lpstr>Overall Model Results</vt:lpstr>
      <vt:lpstr>Tabular Results</vt:lpstr>
      <vt:lpstr>Graphical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Timothy Perkins</dc:creator>
  <cp:lastModifiedBy>CHuber</cp:lastModifiedBy>
  <dcterms:created xsi:type="dcterms:W3CDTF">2018-09-10T13:09:29Z</dcterms:created>
  <dcterms:modified xsi:type="dcterms:W3CDTF">2018-11-02T13:26:16Z</dcterms:modified>
</cp:coreProperties>
</file>