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LLEWI\Desktop\2017-18 STocker Budgets with PDF\"/>
    </mc:Choice>
  </mc:AlternateContent>
  <bookViews>
    <workbookView xWindow="0" yWindow="0" windowWidth="19200" windowHeight="12225"/>
  </bookViews>
  <sheets>
    <sheet name="Stker Drylot 2017" sheetId="1" r:id="rId1"/>
  </sheets>
  <externalReferences>
    <externalReference r:id="rId2"/>
    <externalReference r:id="rId3"/>
    <externalReference r:id="rId4"/>
  </externalReferences>
  <definedNames>
    <definedName name="\AUTOEXEC" localSheetId="0">'Stker Drylot 2017'!$M$1</definedName>
    <definedName name="\AUTOEXEC">'[1]Grz w suppl 2017'!$M$1</definedName>
    <definedName name="\autoexeci">[2]FesEst02!$K$1</definedName>
    <definedName name="\l" localSheetId="0">'Stker Drylot 2017'!$M$32</definedName>
    <definedName name="\l">'[1]Grz w suppl 2017'!$M$33</definedName>
    <definedName name="\p" localSheetId="0">'Stker Drylot 2017'!$M$3</definedName>
    <definedName name="\p">'[1]Grz w suppl 2017'!$M$3</definedName>
    <definedName name="ANCHOR">#REF!</definedName>
    <definedName name="BTABLE" localSheetId="0">'Stker Drylot 2017'!$A$18:$G$93</definedName>
    <definedName name="BTABLE">'[1]Grz w suppl 2017'!$A$18:$G$94</definedName>
    <definedName name="BTABLE1" localSheetId="0">'Stker Drylot 2017'!$A$18:$H$93</definedName>
    <definedName name="BTABLE1">'[1]Grz w suppl 2017'!$A$18:$H$94</definedName>
    <definedName name="CHEMICAL">#REF!</definedName>
    <definedName name="ETABLE">#REF!</definedName>
    <definedName name="FOOT" localSheetId="0">'Stker Drylot 2017'!$M$13:$V$15</definedName>
    <definedName name="FOOT">'[1]Grz w suppl 2017'!$M$16:$V$19</definedName>
    <definedName name="FOOT1" localSheetId="0">'Stker Drylot 2017'!$M$22:$V$29</definedName>
    <definedName name="FOOT1">'[1]Grz w suppl 2017'!$M$26:$V$31</definedName>
    <definedName name="FOOT2">'[1]Grz w suppl 2017'!$A$93:$H$94</definedName>
    <definedName name="FOOTJC">#REF!</definedName>
    <definedName name="HEAD">#REF!</definedName>
    <definedName name="HELP" localSheetId="0">'Stker Drylot 2017'!$A$1:$G$17</definedName>
    <definedName name="HELP">'[1]Grz w suppl 2017'!$A$1:$G$17</definedName>
    <definedName name="HERB">#REF!</definedName>
    <definedName name="INFO">#REF!</definedName>
    <definedName name="INSECT">#REF!</definedName>
    <definedName name="INVEST" localSheetId="0">'Stker Drylot 2017'!$A$98:$L$169</definedName>
    <definedName name="INVEST">'[1]Grz w suppl 2017'!$A$99:$L$170</definedName>
    <definedName name="JWFOOT">#REF!</definedName>
    <definedName name="JWFOOT1">#REF!</definedName>
    <definedName name="JWHELP">#REF!</definedName>
    <definedName name="JWMTABLE">#REF!</definedName>
    <definedName name="JWTABLE">#REF!</definedName>
    <definedName name="JWTABLE1">#REF!</definedName>
    <definedName name="JWTRAC">#REF!</definedName>
    <definedName name="LASERP">'[1]Grz w suppl 2017'!$L$33:$M$35</definedName>
    <definedName name="MTABLE">#REF!</definedName>
    <definedName name="_xlnm.Print_Area" localSheetId="0">'Stker Drylot 2017'!$A$18:$I$169</definedName>
    <definedName name="REF">#REF!</definedName>
    <definedName name="rename">[3]FesEstab09!#REF!</definedName>
    <definedName name="STABLE">#REF!</definedName>
    <definedName name="TRAC">#REF!</definedName>
  </definedName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34" i="1"/>
  <c r="E45" i="1" s="1"/>
  <c r="E34" i="1"/>
  <c r="K15" i="1" s="1"/>
  <c r="F34" i="1"/>
  <c r="C38" i="1"/>
  <c r="E38" i="1"/>
  <c r="G38" i="1" s="1"/>
  <c r="E39" i="1"/>
  <c r="G39" i="1" s="1"/>
  <c r="H39" i="1" s="1"/>
  <c r="E41" i="1"/>
  <c r="G41" i="1" s="1"/>
  <c r="H41" i="1" s="1"/>
  <c r="E42" i="1"/>
  <c r="G42" i="1" s="1"/>
  <c r="H42" i="1" s="1"/>
  <c r="E43" i="1"/>
  <c r="G43" i="1" s="1"/>
  <c r="H43" i="1" s="1"/>
  <c r="G44" i="1"/>
  <c r="H44" i="1" s="1"/>
  <c r="E46" i="1"/>
  <c r="G46" i="1" s="1"/>
  <c r="H46" i="1" s="1"/>
  <c r="E55" i="1"/>
  <c r="G55" i="1"/>
  <c r="H55" i="1" s="1"/>
  <c r="A95" i="1"/>
  <c r="B95" i="1"/>
  <c r="F104" i="1"/>
  <c r="K104" i="1" s="1"/>
  <c r="J104" i="1"/>
  <c r="L104" i="1"/>
  <c r="M104" i="1"/>
  <c r="F105" i="1"/>
  <c r="J105" i="1" s="1"/>
  <c r="F106" i="1"/>
  <c r="J106" i="1"/>
  <c r="K106" i="1" s="1"/>
  <c r="L106" i="1"/>
  <c r="M106" i="1"/>
  <c r="F107" i="1"/>
  <c r="L107" i="1" s="1"/>
  <c r="M107" i="1"/>
  <c r="F108" i="1"/>
  <c r="K108" i="1" s="1"/>
  <c r="J108" i="1"/>
  <c r="L108" i="1"/>
  <c r="M108" i="1"/>
  <c r="F109" i="1"/>
  <c r="J109" i="1" s="1"/>
  <c r="F110" i="1"/>
  <c r="K110" i="1" s="1"/>
  <c r="J110" i="1"/>
  <c r="L110" i="1"/>
  <c r="M110" i="1"/>
  <c r="A118" i="1"/>
  <c r="AE121" i="1"/>
  <c r="E122" i="1"/>
  <c r="F122" i="1"/>
  <c r="D122" i="1" s="1"/>
  <c r="G122" i="1"/>
  <c r="H122" i="1"/>
  <c r="B128" i="1"/>
  <c r="C135" i="1"/>
  <c r="C137" i="1"/>
  <c r="C140" i="1"/>
  <c r="C133" i="1" s="1"/>
  <c r="B142" i="1"/>
  <c r="B149" i="1" s="1"/>
  <c r="C142" i="1"/>
  <c r="C128" i="1" s="1"/>
  <c r="C144" i="1"/>
  <c r="C130" i="1" s="1"/>
  <c r="C149" i="1"/>
  <c r="C151" i="1"/>
  <c r="B156" i="1"/>
  <c r="C156" i="1"/>
  <c r="C158" i="1"/>
  <c r="K48" i="1" l="1"/>
  <c r="G68" i="1"/>
  <c r="H38" i="1"/>
  <c r="K112" i="1"/>
  <c r="G57" i="1" s="1"/>
  <c r="H57" i="1" s="1"/>
  <c r="M109" i="1"/>
  <c r="C147" i="1"/>
  <c r="B135" i="1"/>
  <c r="L109" i="1"/>
  <c r="J107" i="1"/>
  <c r="K107" i="1" s="1"/>
  <c r="L105" i="1"/>
  <c r="L112" i="1" s="1"/>
  <c r="G47" i="1" s="1"/>
  <c r="H47" i="1" s="1"/>
  <c r="A70" i="1"/>
  <c r="C154" i="1"/>
  <c r="F112" i="1"/>
  <c r="K109" i="1"/>
  <c r="K105" i="1"/>
  <c r="E40" i="1"/>
  <c r="G40" i="1" s="1"/>
  <c r="G34" i="1"/>
  <c r="M105" i="1"/>
  <c r="M112" i="1" s="1"/>
  <c r="G58" i="1" s="1"/>
  <c r="H58" i="1" s="1"/>
  <c r="C126" i="1"/>
  <c r="G66" i="1" l="1"/>
  <c r="G70" i="1" s="1"/>
  <c r="G74" i="1"/>
  <c r="H34" i="1"/>
  <c r="H40" i="1"/>
  <c r="J112" i="1"/>
  <c r="E56" i="1" s="1"/>
  <c r="G56" i="1" s="1"/>
  <c r="E48" i="1"/>
  <c r="G48" i="1" s="1"/>
  <c r="H48" i="1" s="1"/>
  <c r="H56" i="1" l="1"/>
  <c r="G60" i="1"/>
  <c r="H60" i="1" s="1"/>
  <c r="F45" i="1"/>
  <c r="G45" i="1" s="1"/>
  <c r="I34" i="1"/>
  <c r="H45" i="1" l="1"/>
  <c r="E142" i="1"/>
  <c r="D144" i="1"/>
  <c r="E151" i="1"/>
  <c r="E158" i="1"/>
  <c r="D133" i="1"/>
  <c r="F130" i="1"/>
  <c r="G130" i="1"/>
  <c r="E147" i="1"/>
  <c r="H140" i="1"/>
  <c r="F128" i="1"/>
  <c r="D149" i="1"/>
  <c r="E156" i="1"/>
  <c r="H137" i="1"/>
  <c r="G149" i="1"/>
  <c r="G126" i="1"/>
  <c r="G133" i="1"/>
  <c r="H151" i="1"/>
  <c r="G147" i="1"/>
  <c r="E133" i="1"/>
  <c r="F133" i="1"/>
  <c r="D151" i="1"/>
  <c r="H147" i="1"/>
  <c r="H144" i="1"/>
  <c r="F144" i="1"/>
  <c r="G135" i="1"/>
  <c r="H133" i="1"/>
  <c r="D140" i="1"/>
  <c r="H126" i="1"/>
  <c r="F135" i="1"/>
  <c r="F149" i="1"/>
  <c r="D130" i="1"/>
  <c r="H135" i="1"/>
  <c r="G128" i="1"/>
  <c r="F156" i="1"/>
  <c r="E137" i="1"/>
  <c r="H130" i="1"/>
  <c r="D137" i="1"/>
  <c r="G156" i="1"/>
  <c r="F154" i="1"/>
  <c r="F140" i="1"/>
  <c r="E130" i="1"/>
  <c r="H128" i="1"/>
  <c r="F142" i="1"/>
  <c r="H142" i="1"/>
  <c r="E135" i="1"/>
  <c r="G142" i="1"/>
  <c r="E149" i="1"/>
  <c r="H156" i="1"/>
  <c r="G144" i="1"/>
  <c r="G154" i="1"/>
  <c r="E144" i="1"/>
  <c r="G151" i="1"/>
  <c r="D135" i="1"/>
  <c r="H154" i="1"/>
  <c r="F147" i="1"/>
  <c r="F137" i="1"/>
  <c r="E126" i="1"/>
  <c r="D156" i="1"/>
  <c r="G137" i="1"/>
  <c r="E154" i="1"/>
  <c r="G158" i="1"/>
  <c r="D158" i="1"/>
  <c r="G50" i="1"/>
  <c r="G140" i="1"/>
  <c r="H158" i="1"/>
  <c r="F158" i="1"/>
  <c r="H149" i="1"/>
  <c r="D142" i="1"/>
  <c r="F126" i="1"/>
  <c r="E140" i="1"/>
  <c r="F151" i="1"/>
  <c r="D154" i="1"/>
  <c r="D126" i="1"/>
  <c r="D128" i="1"/>
  <c r="D147" i="1"/>
  <c r="E128" i="1"/>
  <c r="H50" i="1" l="1"/>
  <c r="G76" i="1"/>
  <c r="G84" i="1"/>
  <c r="G62" i="1"/>
  <c r="G52" i="1"/>
  <c r="H62" i="1" l="1"/>
  <c r="G72" i="1"/>
  <c r="G78" i="1"/>
  <c r="G86" i="1"/>
  <c r="G64" i="1"/>
  <c r="G80" i="1"/>
  <c r="H52" i="1"/>
  <c r="G82" i="1" l="1"/>
  <c r="K89" i="1"/>
  <c r="K88" i="1" s="1"/>
  <c r="G88" i="1" s="1"/>
  <c r="H64" i="1"/>
  <c r="I44" i="1"/>
  <c r="I42" i="1"/>
  <c r="I39" i="1"/>
  <c r="I46" i="1"/>
  <c r="I43" i="1"/>
  <c r="I41" i="1"/>
  <c r="I55" i="1"/>
  <c r="I57" i="1"/>
  <c r="I58" i="1"/>
  <c r="I47" i="1"/>
  <c r="I38" i="1"/>
  <c r="I48" i="1"/>
  <c r="I40" i="1"/>
  <c r="I56" i="1"/>
  <c r="I45" i="1"/>
  <c r="I60" i="1" l="1"/>
  <c r="I62" i="1"/>
  <c r="I50" i="1"/>
  <c r="G90" i="1"/>
</calcChain>
</file>

<file path=xl/sharedStrings.xml><?xml version="1.0" encoding="utf-8"?>
<sst xmlns="http://schemas.openxmlformats.org/spreadsheetml/2006/main" count="237" uniqueCount="123">
  <si>
    <t xml:space="preserve">                             MAX RUNGE, EXTENSION ECONOMIST</t>
  </si>
  <si>
    <t xml:space="preserve">                             SOREN RODNING, EXTENSION VETERINARIAN</t>
  </si>
  <si>
    <t xml:space="preserve">                             KIM MULLENIX, EXTENSION ANIMAL SCIENTIST</t>
  </si>
  <si>
    <t>REFERENCES: KEN KELLEY, REGIONAL EXTENSION AGENT</t>
  </si>
  <si>
    <t xml:space="preserve">  (1) PRODUCTION COSTS ARE HELD CONSTANT.</t>
  </si>
  <si>
    <r>
      <t xml:space="preserve">------- </t>
    </r>
    <r>
      <rPr>
        <sz val="12"/>
        <rFont val="Arial"/>
        <family val="2"/>
      </rPr>
      <t xml:space="preserve"> dollars / head  </t>
    </r>
    <r>
      <rPr>
        <b/>
        <sz val="12"/>
        <rFont val="Arial"/>
        <family val="2"/>
      </rPr>
      <t xml:space="preserve">--------  </t>
    </r>
  </si>
  <si>
    <t xml:space="preserve">     TION AT VARYING WEIGHT GAINS, PURCHASE/SELLING PRICES(1)</t>
  </si>
  <si>
    <t>STOCKER STEERS ON A CHICKEN LITTER RA-</t>
  </si>
  <si>
    <t>COSTS FOR</t>
  </si>
  <si>
    <t>(Lbs.)</t>
  </si>
  <si>
    <t xml:space="preserve">      ESTIMATED RETURN PER HEAD ABOVE ALL SPECIFIED</t>
  </si>
  <si>
    <t>Steers, ($/Cwt.)</t>
  </si>
  <si>
    <t>Per Head</t>
  </si>
  <si>
    <t>For Feeder Cattle,</t>
  </si>
  <si>
    <t>Weight Gain</t>
  </si>
  <si>
    <t xml:space="preserve"> # Stocker Calves,</t>
  </si>
  <si>
    <t>Price Received</t>
  </si>
  <si>
    <t xml:space="preserve">Total </t>
  </si>
  <si>
    <t>Price Paid For</t>
  </si>
  <si>
    <t>AT VARIOUS WEIGHT GAINS AND PURCHASE/SELLING PRICES(1)</t>
  </si>
  <si>
    <t>SENSITIVITY OF NET RETURN PER HEAD ABOVE TOTAL COSTS</t>
  </si>
  <si>
    <t>TOTAL</t>
  </si>
  <si>
    <t>PICKUP</t>
  </si>
  <si>
    <t>TRACTOR</t>
  </si>
  <si>
    <t>P.T.O. GRINDER &amp; MIXER</t>
  </si>
  <si>
    <t>WATER TANK, ETC.</t>
  </si>
  <si>
    <t>FEED BUNK</t>
  </si>
  <si>
    <t>CORRAL</t>
  </si>
  <si>
    <t>FEEDLOT</t>
  </si>
  <si>
    <t xml:space="preserve">   TION</t>
  </si>
  <si>
    <t xml:space="preserve">  VALUE</t>
  </si>
  <si>
    <t xml:space="preserve"> OF LIFE</t>
  </si>
  <si>
    <t xml:space="preserve"> VALUE(%)</t>
  </si>
  <si>
    <t xml:space="preserve"> CHARGED</t>
  </si>
  <si>
    <t>NUMBER</t>
  </si>
  <si>
    <t>COST</t>
  </si>
  <si>
    <t>ITEM</t>
  </si>
  <si>
    <t>INSURANCE</t>
  </si>
  <si>
    <t xml:space="preserve"> REPAIRS</t>
  </si>
  <si>
    <t xml:space="preserve"> DEPRECIA-</t>
  </si>
  <si>
    <t xml:space="preserve"> SALVAGE</t>
  </si>
  <si>
    <t>YEARS</t>
  </si>
  <si>
    <t>PROPORTION</t>
  </si>
  <si>
    <t>YOUR</t>
  </si>
  <si>
    <t>FACILITIES AND EQUIPMENT</t>
  </si>
  <si>
    <t>THESE ESTIMATES SHOULD BE USED AS GUIDES FOR PLANNING PURPOSES ONLY.</t>
  </si>
  <si>
    <t/>
  </si>
  <si>
    <t xml:space="preserve">                                 TO COVER TOTAL COSTS ($/CWT)</t>
  </si>
  <si>
    <t>MAXIMUM STOCKER PURCH. PRICE: TO COVER VARIABLE COSTS ($/CWT)</t>
  </si>
  <si>
    <t>BREAKEVEN FEEDER PRICE:       TO COVER VARIABLE COSTS ($/CWT)</t>
  </si>
  <si>
    <t xml:space="preserve">                                 ABOVE TOTAL COSTS ($/HD)</t>
  </si>
  <si>
    <t>NET RETURNS PER HEAD SOLD:    ABOVE VARIABLE COSTS ($/HD)</t>
  </si>
  <si>
    <t xml:space="preserve">                              TO COVER TOTAL COSTS ($/CWT)</t>
  </si>
  <si>
    <t>COST OF GAIN PER CWT.:     TO COVER VARIABLE COSTS ($/CWT)</t>
  </si>
  <si>
    <t>VALUE OF GAIN PER CWT. ($/CWT)</t>
  </si>
  <si>
    <t>TOTAL PRODUCTION COST PER HEAD ($/HD SOLD)</t>
  </si>
  <si>
    <t>GROSS MARGIN ($/HD SOLD)</t>
  </si>
  <si>
    <t>CWT. OF GAIN/HD. SOLD;</t>
  </si>
  <si>
    <t>COST OF PURCHASED STOCKER CALVES PER HEAD ($/HD SOLD)</t>
  </si>
  <si>
    <t>VALUE OF FEEDER CATTLE PER HEAD ($/HD SOLD)</t>
  </si>
  <si>
    <t>6. NET RETURN ABOVE TOTAL COSTS</t>
  </si>
  <si>
    <t>5. TOTAL COST OF ALL SPECIFIED EXPENSES</t>
  </si>
  <si>
    <t xml:space="preserve">    TOTAL FIXED COSTS</t>
  </si>
  <si>
    <t>DOL.</t>
  </si>
  <si>
    <t xml:space="preserve">    OTHER F.C. ON BLDG. &amp; EQUIP.</t>
  </si>
  <si>
    <t xml:space="preserve">    DEPR. ON BLDG. AND EQUIP.</t>
  </si>
  <si>
    <t xml:space="preserve">    INT. ON BLDG. AND EQUIP.</t>
  </si>
  <si>
    <t>HD.</t>
  </si>
  <si>
    <t xml:space="preserve">    GENERAL OVERHEAD</t>
  </si>
  <si>
    <t>4. FIXED COST</t>
  </si>
  <si>
    <t>3. INCOME ABOVE VARIABLE COST</t>
  </si>
  <si>
    <t xml:space="preserve">    TOTAL VARIABLE COSTS</t>
  </si>
  <si>
    <t xml:space="preserve">    DOL.</t>
  </si>
  <si>
    <t xml:space="preserve">    INTEREST ON OP. CAP.</t>
  </si>
  <si>
    <t xml:space="preserve">    EQUIPMENT (REPAIR)</t>
  </si>
  <si>
    <t xml:space="preserve">    HD.</t>
  </si>
  <si>
    <t xml:space="preserve">    BEEF PROMOTION FEE</t>
  </si>
  <si>
    <t xml:space="preserve">    MARKETING EXPENSES</t>
  </si>
  <si>
    <t xml:space="preserve">    ACRE</t>
  </si>
  <si>
    <t xml:space="preserve">    LAND RENTAL</t>
  </si>
  <si>
    <t xml:space="preserve">    HR.</t>
  </si>
  <si>
    <t xml:space="preserve">    LABOR</t>
  </si>
  <si>
    <t xml:space="preserve">    TON</t>
  </si>
  <si>
    <t xml:space="preserve">    HAY</t>
  </si>
  <si>
    <t xml:space="preserve">    VET &amp; MED</t>
  </si>
  <si>
    <t xml:space="preserve">    GRAIN &amp; BY PRODUCT RATION</t>
  </si>
  <si>
    <t xml:space="preserve">    STARTER/RECEIVING FEED</t>
  </si>
  <si>
    <t xml:space="preserve">    CWT.</t>
  </si>
  <si>
    <t xml:space="preserve">    STOCKER CALVES</t>
  </si>
  <si>
    <t>2. VARIABLE COST</t>
  </si>
  <si>
    <t xml:space="preserve">    FEEDER CATTLE</t>
  </si>
  <si>
    <t>1. GROSS RECEIPTS</t>
  </si>
  <si>
    <t>SOLD</t>
  </si>
  <si>
    <t>VALUE/COST</t>
  </si>
  <si>
    <t xml:space="preserve"> COST/UNIT</t>
  </si>
  <si>
    <t>% OF</t>
  </si>
  <si>
    <t>$/HEAD</t>
  </si>
  <si>
    <t xml:space="preserve">TOTAL </t>
  </si>
  <si>
    <t>PRICE OR</t>
  </si>
  <si>
    <t>QUANTITY</t>
  </si>
  <si>
    <t>UNIT</t>
  </si>
  <si>
    <t>HEAD</t>
  </si>
  <si>
    <t>ALABAMA, 2016-2017</t>
  </si>
  <si>
    <t>PER CWT.</t>
  </si>
  <si>
    <t xml:space="preserve"> LBS. ENDING WEIGHT W/ 2 % SHRINK;</t>
  </si>
  <si>
    <t xml:space="preserve"> % DEATH LOSS;</t>
  </si>
  <si>
    <t>FEEDER CATTLE BASIS</t>
  </si>
  <si>
    <t>APRIL</t>
  </si>
  <si>
    <t xml:space="preserve"> FEED CONVERSION EFFICIENCY;</t>
  </si>
  <si>
    <t xml:space="preserve"> DOL./TON OF GRAIN</t>
  </si>
  <si>
    <t>DAYS OF STARTER/RECEIVING FEED REQUIRED; 5LB./DAY</t>
  </si>
  <si>
    <t xml:space="preserve"> % GRAIN IN RATION</t>
  </si>
  <si>
    <t>FUTURES CONTRACT PRICE</t>
  </si>
  <si>
    <t xml:space="preserve"> TOTAL DAYS STOCKER PROGRAM;</t>
  </si>
  <si>
    <t xml:space="preserve"> LBS. ADG.;</t>
  </si>
  <si>
    <t xml:space="preserve"> LBS. BEG WT.;</t>
  </si>
  <si>
    <t>ESTIMATED COSTS AND RETURNS; USING RECOMMENDED MANAGEMENT PRACTICES;</t>
  </si>
  <si>
    <t xml:space="preserve"> HEAD: STOCKER-STEER BUDGET (DRYLOT USING A BY-PRODUCT AND GRAIN RATION);</t>
  </si>
  <si>
    <t>NOTE: Changes can be made ONLY in the  HIGHLIGHTED cells.</t>
  </si>
  <si>
    <t>[Truckload capacity is 500 Cwt. Or 50,000#.]</t>
  </si>
  <si>
    <t>Cwt.</t>
  </si>
  <si>
    <t>STOCKER  STEERS  ON  DRYLOT  RATION  BUDGET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</si>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</sst>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0_)"/>
    <numFmt numFmtId="166" formatCode="0.0000"/>
    <numFmt numFmtId="167" formatCode="&quot;$&quot;#,##0.00"/>
  </numFmts>
  <fonts count="12" x14ac:knownFonts="1"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2"/>
      <color rgb="FF0000FF"/>
      <name val="Arial"/>
      <family val="2"/>
    </font>
    <font>
      <b/>
      <sz val="12"/>
      <color indexed="12"/>
      <name val="Arial"/>
      <family val="2"/>
    </font>
    <font>
      <b/>
      <sz val="12"/>
      <color rgb="FF0000FF"/>
      <name val="Arial"/>
      <family val="2"/>
    </font>
    <font>
      <b/>
      <sz val="2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165">
    <xf numFmtId="0" fontId="0" fillId="0" borderId="0" xfId="0"/>
    <xf numFmtId="164" fontId="2" fillId="0" borderId="0" xfId="3" applyFont="1"/>
    <xf numFmtId="4" fontId="2" fillId="0" borderId="0" xfId="3" applyNumberFormat="1" applyFont="1"/>
    <xf numFmtId="164" fontId="3" fillId="0" borderId="0" xfId="3" applyFont="1"/>
    <xf numFmtId="4" fontId="3" fillId="0" borderId="0" xfId="3" applyNumberFormat="1" applyFont="1"/>
    <xf numFmtId="164" fontId="2" fillId="0" borderId="0" xfId="3" applyFont="1" applyBorder="1"/>
    <xf numFmtId="164" fontId="3" fillId="0" borderId="0" xfId="4" applyFont="1"/>
    <xf numFmtId="164" fontId="4" fillId="0" borderId="0" xfId="3" applyFont="1" applyAlignment="1" applyProtection="1">
      <alignment horizontal="left"/>
      <protection locked="0"/>
    </xf>
    <xf numFmtId="164" fontId="3" fillId="2" borderId="0" xfId="3" applyFont="1" applyFill="1"/>
    <xf numFmtId="4" fontId="3" fillId="2" borderId="0" xfId="3" applyNumberFormat="1" applyFont="1" applyFill="1"/>
    <xf numFmtId="164" fontId="2" fillId="2" borderId="0" xfId="3" applyFont="1" applyFill="1"/>
    <xf numFmtId="164" fontId="3" fillId="2" borderId="0" xfId="4" applyFont="1" applyFill="1"/>
    <xf numFmtId="164" fontId="4" fillId="2" borderId="0" xfId="4" applyFont="1" applyFill="1" applyAlignment="1" applyProtection="1">
      <alignment horizontal="left"/>
      <protection locked="0"/>
    </xf>
    <xf numFmtId="164" fontId="4" fillId="2" borderId="0" xfId="5" applyFont="1" applyFill="1" applyAlignment="1" applyProtection="1">
      <alignment horizontal="left"/>
      <protection locked="0"/>
    </xf>
    <xf numFmtId="164" fontId="3" fillId="2" borderId="0" xfId="3" applyFont="1" applyFill="1" applyAlignment="1" applyProtection="1">
      <alignment horizontal="left"/>
    </xf>
    <xf numFmtId="165" fontId="3" fillId="2" borderId="0" xfId="3" applyNumberFormat="1" applyFont="1" applyFill="1" applyAlignment="1" applyProtection="1">
      <alignment horizontal="left"/>
    </xf>
    <xf numFmtId="164" fontId="3" fillId="2" borderId="0" xfId="3" applyFont="1" applyFill="1" applyBorder="1"/>
    <xf numFmtId="164" fontId="3" fillId="2" borderId="1" xfId="3" applyFont="1" applyFill="1" applyBorder="1"/>
    <xf numFmtId="4" fontId="3" fillId="2" borderId="2" xfId="3" applyNumberFormat="1" applyFont="1" applyFill="1" applyBorder="1"/>
    <xf numFmtId="164" fontId="3" fillId="2" borderId="2" xfId="3" applyFont="1" applyFill="1" applyBorder="1"/>
    <xf numFmtId="164" fontId="3" fillId="2" borderId="3" xfId="3" applyFont="1" applyFill="1" applyBorder="1"/>
    <xf numFmtId="164" fontId="3" fillId="2" borderId="0" xfId="3" applyFont="1" applyFill="1" applyAlignment="1">
      <alignment horizontal="center"/>
    </xf>
    <xf numFmtId="164" fontId="3" fillId="0" borderId="0" xfId="3" applyFont="1" applyBorder="1" applyProtection="1"/>
    <xf numFmtId="164" fontId="3" fillId="2" borderId="0" xfId="3" applyFont="1" applyFill="1" applyBorder="1" applyProtection="1"/>
    <xf numFmtId="164" fontId="3" fillId="2" borderId="4" xfId="3" applyFont="1" applyFill="1" applyBorder="1" applyProtection="1"/>
    <xf numFmtId="4" fontId="3" fillId="2" borderId="0" xfId="3" applyNumberFormat="1" applyFont="1" applyFill="1" applyBorder="1" applyProtection="1"/>
    <xf numFmtId="164" fontId="3" fillId="2" borderId="5" xfId="3" applyFont="1" applyFill="1" applyBorder="1" applyProtection="1"/>
    <xf numFmtId="165" fontId="3" fillId="2" borderId="0" xfId="3" applyNumberFormat="1" applyFont="1" applyFill="1" applyBorder="1" applyProtection="1"/>
    <xf numFmtId="164" fontId="3" fillId="0" borderId="0" xfId="3" applyFont="1" applyBorder="1"/>
    <xf numFmtId="164" fontId="3" fillId="2" borderId="4" xfId="3" applyFont="1" applyFill="1" applyBorder="1"/>
    <xf numFmtId="4" fontId="3" fillId="2" borderId="0" xfId="3" applyNumberFormat="1" applyFont="1" applyFill="1" applyBorder="1"/>
    <xf numFmtId="164" fontId="3" fillId="2" borderId="5" xfId="3" applyFont="1" applyFill="1" applyBorder="1"/>
    <xf numFmtId="164" fontId="3" fillId="2" borderId="0" xfId="3" applyFont="1" applyFill="1" applyAlignment="1" applyProtection="1">
      <alignment horizontal="center"/>
    </xf>
    <xf numFmtId="164" fontId="3" fillId="2" borderId="6" xfId="3" applyFont="1" applyFill="1" applyBorder="1" applyProtection="1"/>
    <xf numFmtId="164" fontId="5" fillId="2" borderId="0" xfId="3" quotePrefix="1" applyFont="1" applyFill="1" applyAlignment="1" applyProtection="1">
      <alignment horizontal="left"/>
    </xf>
    <xf numFmtId="164" fontId="3" fillId="2" borderId="5" xfId="3" applyFont="1" applyFill="1" applyBorder="1" applyAlignment="1" applyProtection="1">
      <alignment horizontal="left"/>
    </xf>
    <xf numFmtId="164" fontId="3" fillId="2" borderId="7" xfId="3" applyFont="1" applyFill="1" applyBorder="1"/>
    <xf numFmtId="164" fontId="3" fillId="2" borderId="8" xfId="3" applyFont="1" applyFill="1" applyBorder="1"/>
    <xf numFmtId="164" fontId="2" fillId="0" borderId="0" xfId="3" applyFont="1" applyAlignment="1" applyProtection="1">
      <alignment horizontal="left"/>
    </xf>
    <xf numFmtId="164" fontId="3" fillId="2" borderId="2" xfId="3" applyFont="1" applyFill="1" applyBorder="1" applyProtection="1"/>
    <xf numFmtId="4" fontId="3" fillId="2" borderId="2" xfId="3" applyNumberFormat="1" applyFont="1" applyFill="1" applyBorder="1" applyProtection="1"/>
    <xf numFmtId="164" fontId="2" fillId="0" borderId="0" xfId="3" applyFont="1" applyProtection="1"/>
    <xf numFmtId="164" fontId="3" fillId="2" borderId="0" xfId="3" quotePrefix="1" applyFont="1" applyFill="1" applyAlignment="1" applyProtection="1">
      <alignment horizontal="left"/>
    </xf>
    <xf numFmtId="165" fontId="3" fillId="2" borderId="0" xfId="3" quotePrefix="1" applyNumberFormat="1" applyFont="1" applyFill="1" applyAlignment="1" applyProtection="1">
      <alignment horizontal="left"/>
    </xf>
    <xf numFmtId="164" fontId="3" fillId="2" borderId="0" xfId="3" quotePrefix="1" applyFont="1" applyFill="1" applyAlignment="1" applyProtection="1">
      <alignment horizontal="center"/>
    </xf>
    <xf numFmtId="0" fontId="3" fillId="2" borderId="0" xfId="3" applyNumberFormat="1" applyFont="1" applyFill="1" applyAlignment="1" applyProtection="1">
      <alignment horizontal="right"/>
    </xf>
    <xf numFmtId="164" fontId="3" fillId="2" borderId="0" xfId="4" applyFont="1" applyFill="1" applyAlignment="1" applyProtection="1">
      <alignment horizontal="left"/>
    </xf>
    <xf numFmtId="43" fontId="3" fillId="2" borderId="0" xfId="1" applyFont="1" applyFill="1" applyProtection="1"/>
    <xf numFmtId="164" fontId="3" fillId="2" borderId="0" xfId="3" applyFont="1" applyFill="1" applyAlignment="1" applyProtection="1">
      <alignment horizontal="fill"/>
    </xf>
    <xf numFmtId="164" fontId="6" fillId="0" borderId="0" xfId="3" applyFont="1" applyProtection="1">
      <protection locked="0"/>
    </xf>
    <xf numFmtId="164" fontId="4" fillId="2" borderId="0" xfId="3" applyFont="1" applyFill="1" applyBorder="1" applyProtection="1">
      <protection locked="0"/>
    </xf>
    <xf numFmtId="4" fontId="3" fillId="2" borderId="9" xfId="1" applyNumberFormat="1" applyFont="1" applyFill="1" applyBorder="1" applyAlignment="1" applyProtection="1">
      <alignment shrinkToFit="1"/>
    </xf>
    <xf numFmtId="41" fontId="3" fillId="2" borderId="9" xfId="1" applyNumberFormat="1" applyFont="1" applyFill="1" applyBorder="1" applyProtection="1"/>
    <xf numFmtId="164" fontId="3" fillId="2" borderId="9" xfId="3" applyFont="1" applyFill="1" applyBorder="1" applyAlignment="1" applyProtection="1">
      <alignment horizontal="left"/>
    </xf>
    <xf numFmtId="4" fontId="3" fillId="2" borderId="0" xfId="1" applyNumberFormat="1" applyFont="1" applyFill="1" applyBorder="1" applyAlignment="1" applyProtection="1">
      <alignment shrinkToFit="1"/>
    </xf>
    <xf numFmtId="41" fontId="3" fillId="2" borderId="0" xfId="1" applyNumberFormat="1" applyFont="1" applyFill="1" applyBorder="1" applyProtection="1"/>
    <xf numFmtId="164" fontId="3" fillId="2" borderId="0" xfId="3" applyFont="1" applyFill="1" applyBorder="1" applyAlignment="1" applyProtection="1">
      <alignment horizontal="left"/>
    </xf>
    <xf numFmtId="164" fontId="4" fillId="2" borderId="0" xfId="3" applyFont="1" applyFill="1" applyProtection="1">
      <protection locked="0"/>
    </xf>
    <xf numFmtId="4" fontId="4" fillId="2" borderId="0" xfId="3" applyNumberFormat="1" applyFont="1" applyFill="1" applyProtection="1">
      <protection locked="0"/>
    </xf>
    <xf numFmtId="4" fontId="3" fillId="2" borderId="0" xfId="1" applyNumberFormat="1" applyFont="1" applyFill="1" applyAlignment="1" applyProtection="1">
      <alignment shrinkToFit="1"/>
    </xf>
    <xf numFmtId="41" fontId="3" fillId="2" borderId="0" xfId="1" applyNumberFormat="1" applyFont="1" applyFill="1" applyProtection="1"/>
    <xf numFmtId="37" fontId="3" fillId="2" borderId="0" xfId="1" applyNumberFormat="1" applyFont="1" applyFill="1" applyProtection="1"/>
    <xf numFmtId="164" fontId="3" fillId="2" borderId="0" xfId="3" applyFont="1" applyFill="1" applyAlignment="1" applyProtection="1">
      <alignment horizontal="right"/>
    </xf>
    <xf numFmtId="4" fontId="3" fillId="2" borderId="0" xfId="3" applyNumberFormat="1" applyFont="1" applyFill="1" applyAlignment="1" applyProtection="1">
      <alignment horizontal="right"/>
    </xf>
    <xf numFmtId="164" fontId="3" fillId="2" borderId="0" xfId="3" applyFont="1" applyFill="1" applyBorder="1" applyAlignment="1" applyProtection="1">
      <alignment horizontal="right"/>
    </xf>
    <xf numFmtId="164" fontId="3" fillId="2" borderId="2" xfId="3" applyFont="1" applyFill="1" applyBorder="1" applyAlignment="1" applyProtection="1">
      <alignment horizontal="right"/>
    </xf>
    <xf numFmtId="4" fontId="3" fillId="2" borderId="2" xfId="3" applyNumberFormat="1" applyFont="1" applyFill="1" applyBorder="1" applyAlignment="1" applyProtection="1">
      <alignment horizontal="right"/>
    </xf>
    <xf numFmtId="165" fontId="3" fillId="2" borderId="2" xfId="3" applyNumberFormat="1" applyFont="1" applyFill="1" applyBorder="1" applyAlignment="1" applyProtection="1">
      <alignment horizontal="right"/>
    </xf>
    <xf numFmtId="164" fontId="3" fillId="2" borderId="2" xfId="3" applyFont="1" applyFill="1" applyBorder="1" applyAlignment="1" applyProtection="1">
      <alignment horizontal="left"/>
    </xf>
    <xf numFmtId="165" fontId="3" fillId="2" borderId="0" xfId="3" applyNumberFormat="1" applyFont="1" applyFill="1" applyAlignment="1" applyProtection="1">
      <alignment horizontal="right"/>
    </xf>
    <xf numFmtId="165" fontId="4" fillId="2" borderId="0" xfId="3" applyNumberFormat="1" applyFont="1" applyFill="1" applyProtection="1">
      <protection locked="0"/>
    </xf>
    <xf numFmtId="164" fontId="4" fillId="2" borderId="0" xfId="3" applyFont="1" applyFill="1" applyBorder="1" applyAlignment="1" applyProtection="1">
      <alignment horizontal="left"/>
      <protection locked="0"/>
    </xf>
    <xf numFmtId="164" fontId="7" fillId="0" borderId="0" xfId="3" applyFont="1"/>
    <xf numFmtId="164" fontId="5" fillId="2" borderId="0" xfId="3" applyFont="1" applyFill="1"/>
    <xf numFmtId="4" fontId="5" fillId="2" borderId="0" xfId="3" applyNumberFormat="1" applyFont="1" applyFill="1"/>
    <xf numFmtId="164" fontId="5" fillId="2" borderId="0" xfId="3" applyFont="1" applyFill="1" applyAlignment="1" applyProtection="1">
      <alignment horizontal="left"/>
    </xf>
    <xf numFmtId="1" fontId="5" fillId="2" borderId="0" xfId="3" applyNumberFormat="1" applyFont="1" applyFill="1"/>
    <xf numFmtId="164" fontId="6" fillId="0" borderId="0" xfId="3" applyFont="1" applyAlignment="1" applyProtection="1">
      <alignment horizontal="left"/>
      <protection locked="0"/>
    </xf>
    <xf numFmtId="164" fontId="3" fillId="2" borderId="9" xfId="3" applyNumberFormat="1" applyFont="1" applyFill="1" applyBorder="1" applyAlignment="1" applyProtection="1">
      <alignment horizontal="fill"/>
    </xf>
    <xf numFmtId="4" fontId="3" fillId="2" borderId="9" xfId="3" applyNumberFormat="1" applyFont="1" applyFill="1" applyBorder="1" applyProtection="1"/>
    <xf numFmtId="164" fontId="3" fillId="2" borderId="9" xfId="3" applyFont="1" applyFill="1" applyBorder="1"/>
    <xf numFmtId="164" fontId="3" fillId="2" borderId="0" xfId="3" applyNumberFormat="1" applyFont="1" applyFill="1" applyBorder="1" applyAlignment="1" applyProtection="1">
      <alignment horizontal="fill"/>
    </xf>
    <xf numFmtId="4" fontId="3" fillId="2" borderId="0" xfId="3" applyNumberFormat="1" applyFont="1" applyFill="1" applyProtection="1"/>
    <xf numFmtId="164" fontId="3" fillId="2" borderId="0" xfId="3" applyNumberFormat="1" applyFont="1" applyFill="1" applyAlignment="1" applyProtection="1">
      <alignment horizontal="left"/>
    </xf>
    <xf numFmtId="164" fontId="3" fillId="2" borderId="0" xfId="3" applyNumberFormat="1" applyFont="1" applyFill="1" applyBorder="1" applyAlignment="1" applyProtection="1">
      <alignment horizontal="left"/>
    </xf>
    <xf numFmtId="4" fontId="3" fillId="2" borderId="0" xfId="3" applyNumberFormat="1" applyFont="1" applyFill="1" applyAlignment="1" applyProtection="1">
      <alignment horizontal="left"/>
    </xf>
    <xf numFmtId="164" fontId="3" fillId="2" borderId="0" xfId="3" applyFont="1" applyFill="1" applyBorder="1" applyAlignment="1" applyProtection="1">
      <alignment horizontal="fill"/>
    </xf>
    <xf numFmtId="164" fontId="2" fillId="0" borderId="9" xfId="3" applyFont="1" applyBorder="1"/>
    <xf numFmtId="164" fontId="2" fillId="0" borderId="9" xfId="3" applyFont="1" applyBorder="1" applyAlignment="1" applyProtection="1">
      <alignment horizontal="left"/>
    </xf>
    <xf numFmtId="4" fontId="3" fillId="2" borderId="9" xfId="3" applyNumberFormat="1" applyFont="1" applyFill="1" applyBorder="1"/>
    <xf numFmtId="164" fontId="3" fillId="2" borderId="9" xfId="3" applyFont="1" applyFill="1" applyBorder="1" applyAlignment="1" applyProtection="1">
      <alignment horizontal="fill"/>
    </xf>
    <xf numFmtId="10" fontId="3" fillId="2" borderId="9" xfId="3" applyNumberFormat="1" applyFont="1" applyFill="1" applyBorder="1" applyAlignment="1" applyProtection="1">
      <alignment horizontal="right"/>
    </xf>
    <xf numFmtId="4" fontId="3" fillId="2" borderId="9" xfId="3" applyNumberFormat="1" applyFont="1" applyFill="1" applyBorder="1" applyAlignment="1" applyProtection="1">
      <alignment horizontal="right"/>
    </xf>
    <xf numFmtId="164" fontId="3" fillId="2" borderId="9" xfId="3" quotePrefix="1" applyFont="1" applyFill="1" applyBorder="1" applyAlignment="1" applyProtection="1">
      <alignment horizontal="left"/>
    </xf>
    <xf numFmtId="10" fontId="3" fillId="2" borderId="0" xfId="3" applyNumberFormat="1" applyFont="1" applyFill="1" applyBorder="1" applyAlignment="1" applyProtection="1">
      <alignment horizontal="right"/>
    </xf>
    <xf numFmtId="4" fontId="3" fillId="2" borderId="0" xfId="3" applyNumberFormat="1" applyFont="1" applyFill="1" applyBorder="1" applyAlignment="1" applyProtection="1">
      <alignment horizontal="right"/>
    </xf>
    <xf numFmtId="10" fontId="3" fillId="2" borderId="10" xfId="3" applyNumberFormat="1" applyFont="1" applyFill="1" applyBorder="1" applyAlignment="1" applyProtection="1">
      <alignment horizontal="right"/>
    </xf>
    <xf numFmtId="4" fontId="3" fillId="2" borderId="10" xfId="3" applyNumberFormat="1" applyFont="1" applyFill="1" applyBorder="1" applyAlignment="1" applyProtection="1">
      <alignment horizontal="right"/>
    </xf>
    <xf numFmtId="4" fontId="3" fillId="2" borderId="10" xfId="3" applyNumberFormat="1" applyFont="1" applyFill="1" applyBorder="1" applyProtection="1"/>
    <xf numFmtId="166" fontId="4" fillId="2" borderId="0" xfId="3" applyNumberFormat="1" applyFont="1" applyFill="1" applyAlignment="1" applyProtection="1">
      <alignment horizontal="right"/>
      <protection locked="0"/>
    </xf>
    <xf numFmtId="2" fontId="4" fillId="2" borderId="0" xfId="3" applyNumberFormat="1" applyFont="1" applyFill="1" applyProtection="1">
      <protection locked="0"/>
    </xf>
    <xf numFmtId="10" fontId="3" fillId="2" borderId="11" xfId="3" applyNumberFormat="1" applyFont="1" applyFill="1" applyBorder="1" applyAlignment="1" applyProtection="1">
      <alignment horizontal="right"/>
    </xf>
    <xf numFmtId="4" fontId="3" fillId="2" borderId="11" xfId="3" applyNumberFormat="1" applyFont="1" applyFill="1" applyBorder="1" applyAlignment="1" applyProtection="1">
      <alignment horizontal="right"/>
    </xf>
    <xf numFmtId="4" fontId="3" fillId="2" borderId="11" xfId="3" applyNumberFormat="1" applyFont="1" applyFill="1" applyBorder="1" applyProtection="1"/>
    <xf numFmtId="164" fontId="3" fillId="2" borderId="11" xfId="3" applyNumberFormat="1" applyFont="1" applyFill="1" applyBorder="1" applyAlignment="1" applyProtection="1">
      <alignment horizontal="left"/>
    </xf>
    <xf numFmtId="4" fontId="3" fillId="2" borderId="11" xfId="3" applyNumberFormat="1" applyFont="1" applyFill="1" applyBorder="1" applyAlignment="1" applyProtection="1">
      <alignment horizontal="left"/>
    </xf>
    <xf numFmtId="164" fontId="3" fillId="2" borderId="11" xfId="3" applyFont="1" applyFill="1" applyBorder="1" applyAlignment="1">
      <alignment horizontal="center"/>
    </xf>
    <xf numFmtId="164" fontId="3" fillId="2" borderId="11" xfId="3" applyFont="1" applyFill="1" applyBorder="1"/>
    <xf numFmtId="164" fontId="3" fillId="2" borderId="11" xfId="3" quotePrefix="1" applyFont="1" applyFill="1" applyBorder="1" applyAlignment="1" applyProtection="1">
      <alignment horizontal="left"/>
    </xf>
    <xf numFmtId="166" fontId="4" fillId="2" borderId="0" xfId="3" applyNumberFormat="1" applyFont="1" applyFill="1" applyProtection="1">
      <protection locked="0"/>
    </xf>
    <xf numFmtId="164" fontId="4" fillId="2" borderId="0" xfId="3" applyNumberFormat="1" applyFont="1" applyFill="1" applyAlignment="1" applyProtection="1">
      <alignment horizontal="left"/>
      <protection locked="0"/>
    </xf>
    <xf numFmtId="164" fontId="3" fillId="2" borderId="0" xfId="5" applyFont="1" applyFill="1" applyAlignment="1" applyProtection="1">
      <alignment horizontal="left"/>
    </xf>
    <xf numFmtId="4" fontId="3" fillId="2" borderId="0" xfId="3" applyNumberFormat="1" applyFont="1" applyFill="1" applyProtection="1">
      <protection locked="0"/>
    </xf>
    <xf numFmtId="2" fontId="8" fillId="2" borderId="0" xfId="3" applyNumberFormat="1" applyFont="1" applyFill="1" applyProtection="1">
      <protection locked="0"/>
    </xf>
    <xf numFmtId="164" fontId="3" fillId="2" borderId="0" xfId="3" applyNumberFormat="1" applyFont="1" applyFill="1" applyBorder="1" applyAlignment="1" applyProtection="1">
      <alignment horizontal="right"/>
    </xf>
    <xf numFmtId="2" fontId="3" fillId="2" borderId="0" xfId="3" applyNumberFormat="1" applyFont="1" applyFill="1"/>
    <xf numFmtId="10" fontId="3" fillId="2" borderId="0" xfId="3" applyNumberFormat="1" applyFont="1" applyFill="1" applyAlignment="1" applyProtection="1">
      <alignment horizontal="right"/>
    </xf>
    <xf numFmtId="2" fontId="3" fillId="2" borderId="0" xfId="3" applyNumberFormat="1" applyFont="1" applyFill="1" applyAlignment="1" applyProtection="1">
      <alignment horizontal="left"/>
    </xf>
    <xf numFmtId="164" fontId="3" fillId="2" borderId="0" xfId="3" applyFont="1" applyFill="1" applyAlignment="1">
      <alignment horizontal="left"/>
    </xf>
    <xf numFmtId="10" fontId="3" fillId="2" borderId="0" xfId="3" applyNumberFormat="1" applyFont="1" applyFill="1" applyAlignment="1">
      <alignment horizontal="right"/>
    </xf>
    <xf numFmtId="164" fontId="3" fillId="2" borderId="0" xfId="3" applyNumberFormat="1" applyFont="1" applyFill="1" applyProtection="1"/>
    <xf numFmtId="2" fontId="3" fillId="2" borderId="0" xfId="3" applyNumberFormat="1" applyFont="1" applyFill="1" applyProtection="1"/>
    <xf numFmtId="164" fontId="3" fillId="2" borderId="2" xfId="3" applyFont="1" applyFill="1" applyBorder="1" applyAlignment="1" applyProtection="1">
      <alignment horizontal="center"/>
    </xf>
    <xf numFmtId="4" fontId="3" fillId="2" borderId="2" xfId="3" applyNumberFormat="1" applyFont="1" applyFill="1" applyBorder="1" applyAlignment="1" applyProtection="1">
      <alignment horizontal="center"/>
    </xf>
    <xf numFmtId="164" fontId="3" fillId="2" borderId="2" xfId="3" applyNumberFormat="1" applyFont="1" applyFill="1" applyBorder="1" applyAlignment="1" applyProtection="1">
      <alignment horizontal="center"/>
    </xf>
    <xf numFmtId="164" fontId="3" fillId="2" borderId="2" xfId="3" applyFont="1" applyFill="1" applyBorder="1" applyAlignment="1">
      <alignment horizontal="center"/>
    </xf>
    <xf numFmtId="164" fontId="3" fillId="2" borderId="2" xfId="3" applyNumberFormat="1" applyFont="1" applyFill="1" applyBorder="1" applyAlignment="1" applyProtection="1">
      <alignment horizontal="right"/>
    </xf>
    <xf numFmtId="164" fontId="3" fillId="2" borderId="0" xfId="3" applyFont="1" applyFill="1" applyBorder="1" applyAlignment="1" applyProtection="1">
      <alignment horizontal="center"/>
    </xf>
    <xf numFmtId="4" fontId="3" fillId="2" borderId="0" xfId="3" applyNumberFormat="1" applyFont="1" applyFill="1" applyAlignment="1" applyProtection="1">
      <alignment horizontal="center"/>
    </xf>
    <xf numFmtId="164" fontId="3" fillId="2" borderId="0" xfId="3" applyNumberFormat="1" applyFont="1" applyFill="1" applyAlignment="1" applyProtection="1">
      <alignment horizontal="center"/>
    </xf>
    <xf numFmtId="164" fontId="9" fillId="2" borderId="2" xfId="3" applyFont="1" applyFill="1" applyBorder="1" applyAlignment="1" applyProtection="1">
      <alignment horizontal="left"/>
      <protection locked="0"/>
    </xf>
    <xf numFmtId="164" fontId="3" fillId="2" borderId="12" xfId="3" applyFont="1" applyFill="1" applyBorder="1"/>
    <xf numFmtId="0" fontId="3" fillId="2" borderId="0" xfId="0" applyFont="1" applyFill="1" applyBorder="1"/>
    <xf numFmtId="164" fontId="3" fillId="2" borderId="0" xfId="4" applyFont="1" applyFill="1" applyBorder="1"/>
    <xf numFmtId="0" fontId="5" fillId="2" borderId="0" xfId="3" applyNumberFormat="1" applyFont="1" applyFill="1" applyProtection="1"/>
    <xf numFmtId="164" fontId="9" fillId="2" borderId="0" xfId="3" applyFont="1" applyFill="1" applyProtection="1">
      <protection locked="0"/>
    </xf>
    <xf numFmtId="0" fontId="3" fillId="2" borderId="0" xfId="0" applyFont="1" applyFill="1"/>
    <xf numFmtId="164" fontId="3" fillId="2" borderId="0" xfId="4" applyFont="1" applyFill="1" applyAlignment="1">
      <alignment horizontal="right"/>
    </xf>
    <xf numFmtId="2" fontId="9" fillId="2" borderId="0" xfId="3" applyNumberFormat="1" applyFont="1" applyFill="1" applyProtection="1">
      <protection locked="0"/>
    </xf>
    <xf numFmtId="167" fontId="9" fillId="2" borderId="0" xfId="3" applyNumberFormat="1" applyFont="1" applyFill="1" applyProtection="1">
      <protection locked="0"/>
    </xf>
    <xf numFmtId="0" fontId="3" fillId="2" borderId="0" xfId="0" quotePrefix="1" applyFont="1" applyFill="1"/>
    <xf numFmtId="0" fontId="9" fillId="2" borderId="0" xfId="2" applyNumberFormat="1" applyFont="1" applyFill="1" applyProtection="1">
      <protection locked="0"/>
    </xf>
    <xf numFmtId="165" fontId="9" fillId="2" borderId="0" xfId="3" applyNumberFormat="1" applyFont="1" applyFill="1" applyProtection="1">
      <protection locked="0"/>
    </xf>
    <xf numFmtId="0" fontId="2" fillId="2" borderId="0" xfId="0" applyFont="1" applyFill="1"/>
    <xf numFmtId="0" fontId="9" fillId="2" borderId="0" xfId="3" applyNumberFormat="1" applyFont="1" applyFill="1" applyProtection="1">
      <protection locked="0"/>
    </xf>
    <xf numFmtId="164" fontId="7" fillId="0" borderId="0" xfId="3" applyFont="1" applyAlignment="1" applyProtection="1">
      <alignment horizontal="left"/>
    </xf>
    <xf numFmtId="164" fontId="2" fillId="0" borderId="0" xfId="3" applyFont="1" applyAlignment="1" applyProtection="1">
      <alignment horizontal="right"/>
    </xf>
    <xf numFmtId="164" fontId="2" fillId="0" borderId="0" xfId="4" applyFont="1"/>
    <xf numFmtId="164" fontId="2" fillId="0" borderId="0" xfId="5" applyFont="1"/>
    <xf numFmtId="165" fontId="2" fillId="0" borderId="0" xfId="3" applyNumberFormat="1" applyFont="1"/>
    <xf numFmtId="164" fontId="11" fillId="0" borderId="0" xfId="3" applyFont="1" applyAlignment="1" applyProtection="1">
      <alignment horizontal="left"/>
      <protection locked="0"/>
    </xf>
    <xf numFmtId="164" fontId="6" fillId="0" borderId="0" xfId="3" applyNumberFormat="1" applyFont="1" applyAlignment="1" applyProtection="1">
      <alignment horizontal="left"/>
      <protection locked="0"/>
    </xf>
    <xf numFmtId="164" fontId="2" fillId="0" borderId="0" xfId="3" applyFont="1" applyAlignment="1" applyProtection="1">
      <alignment horizontal="fill"/>
    </xf>
    <xf numFmtId="37" fontId="3" fillId="2" borderId="0" xfId="1" applyNumberFormat="1" applyFont="1" applyFill="1" applyAlignment="1" applyProtection="1">
      <alignment shrinkToFit="1"/>
      <protection locked="0"/>
    </xf>
    <xf numFmtId="164" fontId="3" fillId="2" borderId="0" xfId="3" applyFont="1" applyFill="1" applyProtection="1">
      <protection locked="0"/>
    </xf>
    <xf numFmtId="37" fontId="3" fillId="2" borderId="0" xfId="1" applyNumberFormat="1" applyFont="1" applyFill="1" applyBorder="1" applyAlignment="1" applyProtection="1">
      <alignment shrinkToFit="1"/>
      <protection locked="0"/>
    </xf>
    <xf numFmtId="164" fontId="3" fillId="2" borderId="0" xfId="3" applyFont="1" applyFill="1" applyBorder="1" applyProtection="1">
      <protection locked="0"/>
    </xf>
    <xf numFmtId="4" fontId="3" fillId="2" borderId="0" xfId="3" applyNumberFormat="1" applyFont="1" applyFill="1" applyBorder="1" applyProtection="1">
      <protection locked="0"/>
    </xf>
    <xf numFmtId="37" fontId="3" fillId="2" borderId="9" xfId="1" applyNumberFormat="1" applyFont="1" applyFill="1" applyBorder="1" applyAlignment="1" applyProtection="1">
      <alignment shrinkToFit="1"/>
      <protection locked="0"/>
    </xf>
    <xf numFmtId="164" fontId="3" fillId="2" borderId="9" xfId="3" applyFont="1" applyFill="1" applyBorder="1" applyProtection="1">
      <protection locked="0"/>
    </xf>
    <xf numFmtId="4" fontId="3" fillId="2" borderId="9" xfId="3" applyNumberFormat="1" applyFont="1" applyFill="1" applyBorder="1" applyProtection="1">
      <protection locked="0"/>
    </xf>
    <xf numFmtId="164" fontId="2" fillId="0" borderId="0" xfId="3" applyFont="1" applyProtection="1">
      <protection locked="0"/>
    </xf>
    <xf numFmtId="164" fontId="2" fillId="0" borderId="0" xfId="3" applyFont="1" applyBorder="1" applyProtection="1">
      <protection locked="0"/>
    </xf>
    <xf numFmtId="167" fontId="10" fillId="2" borderId="0" xfId="4" applyNumberFormat="1" applyFont="1" applyFill="1" applyProtection="1">
      <protection locked="0"/>
    </xf>
    <xf numFmtId="167" fontId="10" fillId="2" borderId="0" xfId="4" applyNumberFormat="1" applyFont="1" applyFill="1" applyBorder="1" applyProtection="1">
      <protection locked="0"/>
    </xf>
  </cellXfs>
  <cellStyles count="6">
    <cellStyle name="Comma" xfId="1" builtinId="3"/>
    <cellStyle name="Currency" xfId="2" builtinId="4"/>
    <cellStyle name="Normal" xfId="0" builtinId="0"/>
    <cellStyle name="Normal_FLSTKGZL2000-2001" xfId="4"/>
    <cellStyle name="Normal_FLSTKGZMFESCUE2000blackbelt111300" xfId="5"/>
    <cellStyle name="Normal_FLSTKLIT2000-200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624841</xdr:colOff>
      <xdr:row>1</xdr:row>
      <xdr:rowOff>12700</xdr:rowOff>
    </xdr:from>
    <xdr:ext cx="6055359" cy="22352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891" y="174625"/>
          <a:ext cx="6055359" cy="22352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ockers%20on%20Winter%20Annuals%20with%20Supplemental%20Fe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g.auburn.edu/Documents%20and%20Settings/User/My%20Documents/Davis,%20MA/Buds2002/FalForage02/fal%20forage%202002-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revajw/Desktop/Fall%20Forage%20Budget%202009-2010%20%2007%2029%2009%20%20%20V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z w suppl 2017"/>
    </sheetNames>
    <sheetDataSet>
      <sheetData sheetId="0">
        <row r="14">
          <cell r="A14" t="str">
            <v xml:space="preserve"> STOCKERS  ON  WINTER  ANNUALS  &amp;  SUPPLEMENTAL FEED  BUDGET</v>
          </cell>
        </row>
        <row r="17">
          <cell r="B17" t="str">
            <v>NOTE: Changes can be made ONLY in the  HIGHLIGHTED cells.</v>
          </cell>
        </row>
        <row r="18">
          <cell r="A18">
            <v>60</v>
          </cell>
          <cell r="B18" t="str">
            <v xml:space="preserve"> HEAD: STOCKER-STEER BUDGET (WINTER GRAZING WITH SUPPLEMENTAL RATION);</v>
          </cell>
        </row>
        <row r="19">
          <cell r="B19" t="str">
            <v xml:space="preserve">  ESTIMATED COSTS AND RETURNS; USING RECOMMENDED MANAGEMENT PRACTICES;</v>
          </cell>
        </row>
        <row r="20">
          <cell r="A20">
            <v>400</v>
          </cell>
          <cell r="B20" t="str">
            <v xml:space="preserve"> LBS. BEG. WT.;</v>
          </cell>
        </row>
        <row r="21">
          <cell r="A21">
            <v>2.6</v>
          </cell>
          <cell r="B21" t="str">
            <v xml:space="preserve"> LBS. ADG;</v>
          </cell>
          <cell r="C21">
            <v>2</v>
          </cell>
          <cell r="D21" t="str">
            <v xml:space="preserve"> % DEATH LOSS;</v>
          </cell>
          <cell r="G21" t="str">
            <v>MAY</v>
          </cell>
          <cell r="H21" t="str">
            <v>FUTURES CONTRACT PRICE</v>
          </cell>
        </row>
        <row r="22">
          <cell r="A22">
            <v>800</v>
          </cell>
          <cell r="B22" t="str">
            <v xml:space="preserve"> LBS. STOCKED/AC;</v>
          </cell>
          <cell r="C22">
            <v>200</v>
          </cell>
          <cell r="D22" t="str">
            <v xml:space="preserve"> TOTAL DAYS IN STOCKER PROGRAM;</v>
          </cell>
          <cell r="H22">
            <v>143</v>
          </cell>
        </row>
        <row r="23">
          <cell r="A23">
            <v>2</v>
          </cell>
          <cell r="B23" t="str">
            <v xml:space="preserve"> HD. STOCKED/AC;</v>
          </cell>
          <cell r="C23">
            <v>14</v>
          </cell>
          <cell r="D23" t="str">
            <v>DAYS OF STARTER/RECEIVING FEED REQUIRED; 5LB./DAY</v>
          </cell>
          <cell r="G23" t="str">
            <v>MAY</v>
          </cell>
          <cell r="H23" t="str">
            <v>FEEDER CATTLE BASIS</v>
          </cell>
        </row>
        <row r="24">
          <cell r="A24">
            <v>60</v>
          </cell>
          <cell r="B24" t="str">
            <v xml:space="preserve"> % GRAIN IN RATION</v>
          </cell>
          <cell r="C24">
            <v>8</v>
          </cell>
          <cell r="D24" t="str">
            <v xml:space="preserve"> LBS. OF SUPPLEMENT FED/HD./DAY*;</v>
          </cell>
          <cell r="H24">
            <v>-12</v>
          </cell>
        </row>
        <row r="25">
          <cell r="C25">
            <v>902</v>
          </cell>
          <cell r="D25" t="str">
            <v xml:space="preserve"> LBS. ENDING WEIGHT W/ 2 % SHRINK;</v>
          </cell>
        </row>
        <row r="26">
          <cell r="M26" t="str">
            <v>initial calf pounds</v>
          </cell>
        </row>
        <row r="27">
          <cell r="A27" t="str">
            <v>ALABAMA, 2016-2017</v>
          </cell>
          <cell r="M27" t="str">
            <v>hd stocked/ac</v>
          </cell>
        </row>
        <row r="28">
          <cell r="C28" t="str">
            <v>HEAD</v>
          </cell>
          <cell r="D28" t="str">
            <v>UNIT</v>
          </cell>
          <cell r="E28" t="str">
            <v>QUANTITY</v>
          </cell>
          <cell r="F28" t="str">
            <v>PRICE OR</v>
          </cell>
          <cell r="G28" t="str">
            <v xml:space="preserve">Total </v>
          </cell>
          <cell r="H28" t="str">
            <v>$/Head</v>
          </cell>
        </row>
        <row r="29">
          <cell r="B29" t="str">
            <v>ITEM</v>
          </cell>
          <cell r="F29" t="str">
            <v>COST/UNIT</v>
          </cell>
          <cell r="G29" t="str">
            <v>Value/Cost</v>
          </cell>
          <cell r="H29" t="str">
            <v xml:space="preserve">Sold </v>
          </cell>
        </row>
        <row r="32">
          <cell r="A32" t="str">
            <v>1.GROSS RECEIPTS</v>
          </cell>
        </row>
        <row r="33">
          <cell r="A33" t="str">
            <v xml:space="preserve">     FEEDER CATTLE</v>
          </cell>
          <cell r="C33">
            <v>59</v>
          </cell>
          <cell r="D33" t="str">
            <v xml:space="preserve">    CWT.</v>
          </cell>
          <cell r="E33">
            <v>9.02</v>
          </cell>
          <cell r="F33">
            <v>131</v>
          </cell>
          <cell r="G33">
            <v>69715.579999999987</v>
          </cell>
          <cell r="H33">
            <v>1181.6199999999999</v>
          </cell>
        </row>
        <row r="35">
          <cell r="A35" t="str">
            <v>2. VARIABLE COST</v>
          </cell>
          <cell r="E35"/>
          <cell r="F35"/>
          <cell r="G35"/>
        </row>
        <row r="36">
          <cell r="A36" t="str">
            <v xml:space="preserve">     STOCKER CALVES</v>
          </cell>
          <cell r="C36">
            <v>60</v>
          </cell>
          <cell r="D36" t="str">
            <v xml:space="preserve">    CWT.</v>
          </cell>
          <cell r="E36">
            <v>4</v>
          </cell>
          <cell r="F36">
            <v>168</v>
          </cell>
          <cell r="G36">
            <v>40320</v>
          </cell>
          <cell r="H36">
            <v>683.38983050847457</v>
          </cell>
        </row>
        <row r="37">
          <cell r="A37" t="str">
            <v xml:space="preserve">     WINTER GRAZING</v>
          </cell>
          <cell r="D37" t="str">
            <v xml:space="preserve">    ACRE</v>
          </cell>
          <cell r="E37">
            <v>30</v>
          </cell>
          <cell r="F37">
            <v>143</v>
          </cell>
          <cell r="G37">
            <v>4290</v>
          </cell>
          <cell r="H37">
            <v>72.711864406779668</v>
          </cell>
        </row>
        <row r="38">
          <cell r="A38" t="str">
            <v xml:space="preserve">     SALT &amp; MIN.</v>
          </cell>
          <cell r="D38" t="str">
            <v xml:space="preserve">    CWT.</v>
          </cell>
          <cell r="E38">
            <v>22.5</v>
          </cell>
          <cell r="F38">
            <v>30</v>
          </cell>
          <cell r="G38">
            <v>675</v>
          </cell>
          <cell r="H38">
            <v>11.440677966101696</v>
          </cell>
        </row>
        <row r="39">
          <cell r="A39" t="str">
            <v xml:space="preserve">    STARTER/RECEIVING FEED</v>
          </cell>
          <cell r="D39" t="str">
            <v xml:space="preserve">    TON</v>
          </cell>
          <cell r="E39">
            <v>2.1</v>
          </cell>
          <cell r="F39">
            <v>250</v>
          </cell>
          <cell r="G39">
            <v>525</v>
          </cell>
          <cell r="H39">
            <v>8.898305084745763</v>
          </cell>
        </row>
        <row r="40">
          <cell r="A40" t="str">
            <v xml:space="preserve">     GRAIN &amp; BY-PRODUCT SUPPLEMENT</v>
          </cell>
          <cell r="D40" t="str">
            <v xml:space="preserve">    TON</v>
          </cell>
          <cell r="E40">
            <v>47.6</v>
          </cell>
          <cell r="F40">
            <v>175</v>
          </cell>
          <cell r="G40">
            <v>8330</v>
          </cell>
          <cell r="H40">
            <v>141.18644067796609</v>
          </cell>
        </row>
        <row r="41">
          <cell r="A41" t="str">
            <v xml:space="preserve">     HAY</v>
          </cell>
          <cell r="D41" t="str">
            <v xml:space="preserve">    TON</v>
          </cell>
          <cell r="E41">
            <v>5.95</v>
          </cell>
          <cell r="F41">
            <v>175</v>
          </cell>
          <cell r="G41">
            <v>1041.25</v>
          </cell>
          <cell r="H41">
            <v>17.648305084745761</v>
          </cell>
        </row>
        <row r="42">
          <cell r="A42" t="str">
            <v xml:space="preserve">     VET &amp; MED</v>
          </cell>
          <cell r="D42" t="str">
            <v xml:space="preserve">    HD.</v>
          </cell>
          <cell r="E42">
            <v>60</v>
          </cell>
          <cell r="F42">
            <v>23.89</v>
          </cell>
          <cell r="G42">
            <v>1433.4</v>
          </cell>
          <cell r="H42">
            <v>24.294915254237289</v>
          </cell>
        </row>
        <row r="43">
          <cell r="A43" t="str">
            <v xml:space="preserve">     LABOR</v>
          </cell>
          <cell r="D43" t="str">
            <v xml:space="preserve">    HR.</v>
          </cell>
          <cell r="E43">
            <v>300</v>
          </cell>
          <cell r="F43">
            <v>12.5</v>
          </cell>
          <cell r="G43">
            <v>3750</v>
          </cell>
          <cell r="H43">
            <v>63.559322033898304</v>
          </cell>
        </row>
        <row r="44">
          <cell r="A44" t="str">
            <v xml:space="preserve">     LAND RENTAL</v>
          </cell>
          <cell r="D44" t="str">
            <v xml:space="preserve">    AC.</v>
          </cell>
          <cell r="E44">
            <v>30</v>
          </cell>
          <cell r="F44">
            <v>22</v>
          </cell>
          <cell r="G44">
            <v>660</v>
          </cell>
          <cell r="H44">
            <v>11.186440677966102</v>
          </cell>
        </row>
        <row r="45">
          <cell r="A45" t="str">
            <v xml:space="preserve">     MARKETING EXPENSES</v>
          </cell>
          <cell r="D45" t="str">
            <v xml:space="preserve">    HD.</v>
          </cell>
          <cell r="E45">
            <v>59</v>
          </cell>
          <cell r="F45">
            <v>23.632399999999997</v>
          </cell>
          <cell r="G45">
            <v>1394.3115999999998</v>
          </cell>
          <cell r="H45">
            <v>23.632399999999997</v>
          </cell>
        </row>
        <row r="46">
          <cell r="A46" t="str">
            <v xml:space="preserve">     BEEF PROMOTION FEE</v>
          </cell>
          <cell r="D46" t="str">
            <v xml:space="preserve">    HD.</v>
          </cell>
          <cell r="E46">
            <v>59</v>
          </cell>
          <cell r="F46">
            <v>2</v>
          </cell>
          <cell r="G46">
            <v>118</v>
          </cell>
          <cell r="H46">
            <v>2</v>
          </cell>
        </row>
        <row r="47">
          <cell r="A47" t="str">
            <v xml:space="preserve">     EQUIPMENT (REPAIR)</v>
          </cell>
          <cell r="D47" t="str">
            <v xml:space="preserve">    DOL.</v>
          </cell>
          <cell r="E47"/>
          <cell r="F47"/>
          <cell r="G47">
            <v>244.92214285714286</v>
          </cell>
          <cell r="H47">
            <v>4.1512227602905574</v>
          </cell>
        </row>
        <row r="48">
          <cell r="A48" t="str">
            <v xml:space="preserve">     INTEREST ON OP. CAP.</v>
          </cell>
          <cell r="D48" t="str">
            <v xml:space="preserve">    DOL.</v>
          </cell>
          <cell r="E48">
            <v>29167.857025440313</v>
          </cell>
          <cell r="F48">
            <v>5.5E-2</v>
          </cell>
          <cell r="G48">
            <v>1604.2321363992173</v>
          </cell>
          <cell r="H48">
            <v>27.190375193207075</v>
          </cell>
        </row>
        <row r="49">
          <cell r="E49"/>
          <cell r="F49"/>
        </row>
        <row r="50">
          <cell r="A50" t="str">
            <v xml:space="preserve">     TOTAL VARIABLE COSTS</v>
          </cell>
          <cell r="E50"/>
          <cell r="F50"/>
          <cell r="G50">
            <v>64386.115879256358</v>
          </cell>
          <cell r="H50">
            <v>1091.2900996484129</v>
          </cell>
        </row>
        <row r="51">
          <cell r="E51"/>
          <cell r="F51"/>
          <cell r="G51"/>
        </row>
        <row r="52">
          <cell r="A52" t="str">
            <v>3. INCOME ABOVE VARIABLE COST</v>
          </cell>
          <cell r="E52"/>
          <cell r="F52"/>
          <cell r="G52">
            <v>5329.4641207436289</v>
          </cell>
          <cell r="H52">
            <v>90.329900351586929</v>
          </cell>
        </row>
        <row r="53">
          <cell r="E53"/>
          <cell r="G53"/>
        </row>
        <row r="54">
          <cell r="A54" t="str">
            <v>4. FIXED COST</v>
          </cell>
          <cell r="E54"/>
          <cell r="G54"/>
        </row>
        <row r="55">
          <cell r="A55" t="str">
            <v xml:space="preserve">    GENERAL OVERHEAD</v>
          </cell>
          <cell r="D55" t="str">
            <v xml:space="preserve">    HD.</v>
          </cell>
          <cell r="E55">
            <v>60</v>
          </cell>
          <cell r="F55">
            <v>2.5</v>
          </cell>
          <cell r="G55">
            <v>150</v>
          </cell>
          <cell r="H55">
            <v>2.5423728813559321</v>
          </cell>
        </row>
        <row r="56">
          <cell r="A56" t="str">
            <v xml:space="preserve">    WINTER GRAZING</v>
          </cell>
          <cell r="D56" t="str">
            <v xml:space="preserve">    ACRE</v>
          </cell>
          <cell r="E56">
            <v>30</v>
          </cell>
          <cell r="F56">
            <v>8.31</v>
          </cell>
          <cell r="G56">
            <v>249.3</v>
          </cell>
          <cell r="H56">
            <v>4.2254237288135599</v>
          </cell>
        </row>
        <row r="57">
          <cell r="A57" t="str">
            <v xml:space="preserve">    INT. ON BLDG. AND EQUIP.</v>
          </cell>
          <cell r="D57" t="str">
            <v xml:space="preserve">    DOL.</v>
          </cell>
          <cell r="E57">
            <v>6838.1</v>
          </cell>
          <cell r="F57">
            <v>6.5000000000000002E-2</v>
          </cell>
          <cell r="G57">
            <v>444.47650000000004</v>
          </cell>
          <cell r="H57">
            <v>7.533500000000001</v>
          </cell>
        </row>
        <row r="58">
          <cell r="A58" t="str">
            <v xml:space="preserve">    DEPR. ON BLDG. AND EQUIP.</v>
          </cell>
          <cell r="D58" t="str">
            <v xml:space="preserve">    DOL.</v>
          </cell>
          <cell r="E58"/>
          <cell r="F58"/>
          <cell r="G58">
            <v>1083.4085714285716</v>
          </cell>
          <cell r="H58">
            <v>18.362857142857145</v>
          </cell>
        </row>
        <row r="59">
          <cell r="A59" t="str">
            <v xml:space="preserve">    OTHER F.C. ON BLDG. &amp; EQUIP.</v>
          </cell>
          <cell r="D59" t="str">
            <v xml:space="preserve">    DOL.</v>
          </cell>
          <cell r="E59"/>
          <cell r="F59"/>
          <cell r="G59">
            <v>93.508124999999993</v>
          </cell>
          <cell r="H59">
            <v>1.584883474576271</v>
          </cell>
        </row>
        <row r="60">
          <cell r="E60"/>
          <cell r="F60"/>
        </row>
        <row r="61">
          <cell r="A61" t="str">
            <v xml:space="preserve">    TOTAL FIXED COSTS</v>
          </cell>
          <cell r="E61"/>
          <cell r="F61"/>
          <cell r="G61">
            <v>2020.6931964285716</v>
          </cell>
          <cell r="H61">
            <v>34.249037227602905</v>
          </cell>
        </row>
        <row r="62">
          <cell r="E62"/>
          <cell r="F62"/>
          <cell r="G62"/>
        </row>
        <row r="63">
          <cell r="A63" t="str">
            <v>5. TOTAL COST OF ALL SPECIFIED EXPENSES</v>
          </cell>
          <cell r="F63"/>
          <cell r="G63">
            <v>66406.809075684927</v>
          </cell>
          <cell r="H63">
            <v>1125.5391368760156</v>
          </cell>
        </row>
        <row r="64">
          <cell r="E64"/>
          <cell r="F64"/>
          <cell r="G64"/>
        </row>
        <row r="65">
          <cell r="A65" t="str">
            <v>6. NET RETURN ABOVE TOTAL COSTS</v>
          </cell>
          <cell r="G65">
            <v>3308.7709243150603</v>
          </cell>
          <cell r="H65">
            <v>56.080863123984074</v>
          </cell>
        </row>
        <row r="67">
          <cell r="A67" t="str">
            <v>VALUE OF FEEDER CATTLE PER HEAD ($/HD SOLD)</v>
          </cell>
          <cell r="G67">
            <v>1181.6199999999999</v>
          </cell>
        </row>
        <row r="69">
          <cell r="A69" t="str">
            <v>COST OF PURCHASED STOCKER CALVES PER HEAD ($/HD SOLD)</v>
          </cell>
          <cell r="G69">
            <v>683.38983050847457</v>
          </cell>
        </row>
        <row r="71">
          <cell r="A71">
            <v>4.9522033898305073</v>
          </cell>
          <cell r="B71" t="str">
            <v>CWT. OF GAIN/HD SOLD;</v>
          </cell>
          <cell r="D71" t="str">
            <v>GROSS MARGIN ($/HD SOLD)</v>
          </cell>
          <cell r="G71">
            <v>498.23016949152532</v>
          </cell>
        </row>
        <row r="73">
          <cell r="A73" t="str">
            <v>TOTAL PRODUCTION COST PER HEAD ($/HD SOLD)</v>
          </cell>
          <cell r="G73">
            <v>442.14930636754116</v>
          </cell>
        </row>
        <row r="75">
          <cell r="A75" t="str">
            <v>VALUE OF GAIN PER CWT. ($/CWT)</v>
          </cell>
          <cell r="G75">
            <v>100.60777602847557</v>
          </cell>
        </row>
        <row r="77">
          <cell r="A77" t="str">
            <v>COST OF GAIN PER CWT.:        TO COVER VARIABLE COSTS ($/CWT)</v>
          </cell>
          <cell r="G77">
            <v>82.367430622412087</v>
          </cell>
        </row>
        <row r="79">
          <cell r="A79" t="str">
            <v xml:space="preserve">                              TO COVER TOTAL COSTS</v>
          </cell>
          <cell r="G79">
            <v>89.283349564258103</v>
          </cell>
        </row>
        <row r="81">
          <cell r="A81" t="str">
            <v>NET RETURNS PER HEAD SOLD:    ABOVE VARIABLE COSTS ($/HD)</v>
          </cell>
          <cell r="G81">
            <v>90.329900351586929</v>
          </cell>
        </row>
        <row r="82">
          <cell r="E82"/>
          <cell r="F82"/>
          <cell r="G82"/>
        </row>
        <row r="83">
          <cell r="A83" t="str">
            <v xml:space="preserve">                              ABOVE TOTAL COSTS ($/HD)</v>
          </cell>
          <cell r="G83">
            <v>56.080863123984074</v>
          </cell>
        </row>
        <row r="85">
          <cell r="A85" t="str">
            <v>BREAKEVEN FEEDER PRICE:       TO COVER VARIABLE COSTS ($/CWT)</v>
          </cell>
          <cell r="G85">
            <v>120.98559863064445</v>
          </cell>
        </row>
        <row r="86">
          <cell r="E86"/>
          <cell r="F86"/>
          <cell r="G86"/>
        </row>
        <row r="87">
          <cell r="A87" t="str">
            <v xml:space="preserve">                              TO COVER TOTAL COSTS ($/CWT)</v>
          </cell>
          <cell r="G87">
            <v>124.78260940975785</v>
          </cell>
        </row>
        <row r="89">
          <cell r="A89" t="str">
            <v>MAXIMUM STOCKER PURCH. PRICE: TO COVER VARIABLE COSTS ($/CWT)</v>
          </cell>
          <cell r="G89">
            <v>189.79061556967991</v>
          </cell>
        </row>
        <row r="91">
          <cell r="A91" t="str">
            <v xml:space="preserve">                              TO COVER TOTAL COSTS ($/CWT)</v>
          </cell>
          <cell r="G91">
            <v>181.37106058456087</v>
          </cell>
        </row>
        <row r="93">
          <cell r="A93" t="str">
            <v>THESE ESTIMATES SHOULD BE USED AS GUIDES FOR PLANNING PURPOSES ONLY.</v>
          </cell>
        </row>
        <row r="99">
          <cell r="C99" t="str">
            <v>FACILITIES AND EQUIPMENT</v>
          </cell>
        </row>
        <row r="101">
          <cell r="C101" t="str">
            <v>ESTIMATED</v>
          </cell>
          <cell r="E101" t="str">
            <v>PROPORTION</v>
          </cell>
          <cell r="F101" t="str">
            <v>TOTAL</v>
          </cell>
          <cell r="G101" t="str">
            <v xml:space="preserve"> SALVAGE</v>
          </cell>
          <cell r="H101" t="str">
            <v>YEARS</v>
          </cell>
          <cell r="J101" t="str">
            <v xml:space="preserve"> SALVAGE</v>
          </cell>
          <cell r="K101" t="str">
            <v xml:space="preserve"> DEPRECIA-</v>
          </cell>
          <cell r="L101" t="str">
            <v xml:space="preserve"> REPAIRS</v>
          </cell>
        </row>
        <row r="102">
          <cell r="A102" t="str">
            <v>ITEM</v>
          </cell>
          <cell r="C102" t="str">
            <v>COST</v>
          </cell>
          <cell r="D102" t="str">
            <v>NUMBER</v>
          </cell>
          <cell r="E102" t="str">
            <v>CHARGED</v>
          </cell>
          <cell r="F102" t="str">
            <v xml:space="preserve"> CHARGED</v>
          </cell>
          <cell r="G102" t="str">
            <v xml:space="preserve"> VALUE(%)</v>
          </cell>
          <cell r="H102" t="str">
            <v xml:space="preserve"> OF LIFE</v>
          </cell>
          <cell r="J102" t="str">
            <v xml:space="preserve">  VALUE</v>
          </cell>
          <cell r="K102" t="str">
            <v xml:space="preserve">   TION</v>
          </cell>
        </row>
        <row r="103">
          <cell r="D103"/>
          <cell r="F103"/>
        </row>
        <row r="105">
          <cell r="A105" t="str">
            <v>FENCING</v>
          </cell>
          <cell r="C105">
            <v>2050</v>
          </cell>
          <cell r="D105">
            <v>1</v>
          </cell>
          <cell r="E105">
            <v>0.67</v>
          </cell>
          <cell r="F105">
            <v>1373.5</v>
          </cell>
          <cell r="G105">
            <v>0</v>
          </cell>
          <cell r="H105">
            <v>15</v>
          </cell>
          <cell r="J105">
            <v>0</v>
          </cell>
          <cell r="K105">
            <v>91.566666666666663</v>
          </cell>
          <cell r="L105">
            <v>18.313333333333333</v>
          </cell>
        </row>
        <row r="106">
          <cell r="A106" t="str">
            <v>CORRAL</v>
          </cell>
          <cell r="C106">
            <v>3500</v>
          </cell>
          <cell r="D106">
            <v>1</v>
          </cell>
          <cell r="E106">
            <v>0.67</v>
          </cell>
          <cell r="F106">
            <v>2345</v>
          </cell>
          <cell r="G106">
            <v>0</v>
          </cell>
          <cell r="H106">
            <v>15</v>
          </cell>
          <cell r="J106">
            <v>0</v>
          </cell>
          <cell r="K106">
            <v>156.33333333333334</v>
          </cell>
          <cell r="L106">
            <v>31.266666666666666</v>
          </cell>
        </row>
        <row r="107">
          <cell r="A107" t="str">
            <v>FEED BUNK</v>
          </cell>
          <cell r="C107">
            <v>450</v>
          </cell>
          <cell r="D107">
            <v>2</v>
          </cell>
          <cell r="E107">
            <v>0.67</v>
          </cell>
          <cell r="F107">
            <v>603</v>
          </cell>
          <cell r="G107">
            <v>0</v>
          </cell>
          <cell r="H107">
            <v>10</v>
          </cell>
          <cell r="J107">
            <v>0</v>
          </cell>
          <cell r="K107">
            <v>60.3</v>
          </cell>
          <cell r="L107">
            <v>12.06</v>
          </cell>
        </row>
        <row r="108">
          <cell r="A108" t="str">
            <v>WATER TANK, ETC.</v>
          </cell>
          <cell r="C108">
            <v>750</v>
          </cell>
          <cell r="D108">
            <v>1</v>
          </cell>
          <cell r="E108">
            <v>0.67</v>
          </cell>
          <cell r="F108">
            <v>502.50000000000006</v>
          </cell>
          <cell r="G108">
            <v>0</v>
          </cell>
          <cell r="H108">
            <v>10</v>
          </cell>
          <cell r="J108">
            <v>0</v>
          </cell>
          <cell r="K108">
            <v>50.250000000000007</v>
          </cell>
          <cell r="L108">
            <v>10.050000000000001</v>
          </cell>
        </row>
        <row r="109">
          <cell r="A109" t="str">
            <v>MINERAL FEEDER</v>
          </cell>
          <cell r="C109">
            <v>275</v>
          </cell>
          <cell r="D109">
            <v>1</v>
          </cell>
          <cell r="E109">
            <v>0.67</v>
          </cell>
          <cell r="F109">
            <v>184.25</v>
          </cell>
          <cell r="G109">
            <v>0</v>
          </cell>
          <cell r="H109">
            <v>10</v>
          </cell>
          <cell r="J109">
            <v>0</v>
          </cell>
          <cell r="K109">
            <v>18.425000000000001</v>
          </cell>
          <cell r="L109">
            <v>3.6850000000000001</v>
          </cell>
        </row>
        <row r="110">
          <cell r="A110" t="str">
            <v>P.T.O. GRINDER &amp; MIXER</v>
          </cell>
          <cell r="C110">
            <v>5350</v>
          </cell>
          <cell r="D110">
            <v>1</v>
          </cell>
          <cell r="E110">
            <v>0.67</v>
          </cell>
          <cell r="F110">
            <v>3584.5</v>
          </cell>
          <cell r="G110">
            <v>10</v>
          </cell>
          <cell r="H110">
            <v>10</v>
          </cell>
          <cell r="J110">
            <v>358.45</v>
          </cell>
          <cell r="K110">
            <v>322.60500000000002</v>
          </cell>
          <cell r="L110">
            <v>71.690000000000012</v>
          </cell>
        </row>
        <row r="111">
          <cell r="A111" t="str">
            <v>TRACTOR</v>
          </cell>
          <cell r="C111">
            <v>15000</v>
          </cell>
          <cell r="D111">
            <v>1</v>
          </cell>
          <cell r="E111">
            <v>0.1</v>
          </cell>
          <cell r="F111">
            <v>1500</v>
          </cell>
          <cell r="G111">
            <v>25</v>
          </cell>
          <cell r="H111">
            <v>10</v>
          </cell>
          <cell r="J111">
            <v>375</v>
          </cell>
          <cell r="K111">
            <v>112.5</v>
          </cell>
          <cell r="L111">
            <v>30</v>
          </cell>
        </row>
        <row r="112">
          <cell r="A112" t="str">
            <v>PICKUP</v>
          </cell>
          <cell r="C112">
            <v>23750</v>
          </cell>
          <cell r="D112">
            <v>1</v>
          </cell>
          <cell r="E112">
            <v>0.1</v>
          </cell>
          <cell r="F112">
            <v>2375</v>
          </cell>
          <cell r="G112">
            <v>20</v>
          </cell>
          <cell r="H112">
            <v>7</v>
          </cell>
          <cell r="J112">
            <v>475</v>
          </cell>
          <cell r="K112">
            <v>271.42857142857144</v>
          </cell>
          <cell r="L112">
            <v>67.857142857142861</v>
          </cell>
        </row>
        <row r="114">
          <cell r="A114" t="str">
            <v>TOTAL</v>
          </cell>
          <cell r="F114">
            <v>12467.75</v>
          </cell>
          <cell r="J114">
            <v>1208.45</v>
          </cell>
          <cell r="K114">
            <v>1083.4085714285716</v>
          </cell>
          <cell r="L114">
            <v>244.92214285714286</v>
          </cell>
        </row>
        <row r="118">
          <cell r="C118" t="str">
            <v>SENSITIVITY OF NET RETURN PER HEAD ABOVE TOTAL COSTS</v>
          </cell>
        </row>
        <row r="119">
          <cell r="C119" t="str">
            <v>AT VARIOUS WEIGHT GAINS AND PURCHASE/SELLING PRICES(1)</v>
          </cell>
        </row>
        <row r="122">
          <cell r="B122" t="str">
            <v>Price Paid For</v>
          </cell>
          <cell r="C122" t="str">
            <v>Total</v>
          </cell>
          <cell r="F122" t="str">
            <v>Price Received</v>
          </cell>
        </row>
        <row r="123">
          <cell r="A123">
            <v>400</v>
          </cell>
          <cell r="B123" t="str">
            <v xml:space="preserve"> # Stocker Calves</v>
          </cell>
          <cell r="C123" t="str">
            <v xml:space="preserve">Weight Gain </v>
          </cell>
          <cell r="F123" t="str">
            <v xml:space="preserve">For Feeder Cattle </v>
          </cell>
        </row>
        <row r="124">
          <cell r="B124" t="str">
            <v>Steers, ($/Cwt.)</v>
          </cell>
          <cell r="C124" t="str">
            <v>Per Head</v>
          </cell>
          <cell r="F124" t="str">
            <v>Steers, ($/Cwt.)</v>
          </cell>
        </row>
        <row r="125">
          <cell r="C125" t="str">
            <v>(Lbs.)</v>
          </cell>
        </row>
        <row r="127">
          <cell r="D127">
            <v>121</v>
          </cell>
          <cell r="E127">
            <v>126</v>
          </cell>
          <cell r="F127">
            <v>131</v>
          </cell>
          <cell r="G127">
            <v>136</v>
          </cell>
          <cell r="H127">
            <v>141</v>
          </cell>
        </row>
        <row r="129">
          <cell r="D129" t="str">
            <v xml:space="preserve">             ------- dollars / head --------</v>
          </cell>
        </row>
        <row r="131">
          <cell r="C131">
            <v>452</v>
          </cell>
          <cell r="D131">
            <v>-35.066954382400795</v>
          </cell>
          <cell r="E131">
            <v>7.5330456175993383</v>
          </cell>
          <cell r="F131">
            <v>50.133045617599251</v>
          </cell>
          <cell r="G131">
            <v>92.733045617599387</v>
          </cell>
          <cell r="H131">
            <v>135.33304561759928</v>
          </cell>
        </row>
        <row r="133">
          <cell r="B133">
            <v>158</v>
          </cell>
          <cell r="C133">
            <v>502</v>
          </cell>
          <cell r="D133">
            <v>25.433045617599202</v>
          </cell>
          <cell r="E133">
            <v>70.533045617599342</v>
          </cell>
          <cell r="F133">
            <v>115.63304561759925</v>
          </cell>
          <cell r="G133">
            <v>160.73304561759937</v>
          </cell>
          <cell r="H133">
            <v>205.83304561759928</v>
          </cell>
        </row>
        <row r="135">
          <cell r="C135">
            <v>552</v>
          </cell>
          <cell r="D135">
            <v>85.933045617599205</v>
          </cell>
          <cell r="E135">
            <v>133.53304561759933</v>
          </cell>
          <cell r="F135">
            <v>181.13304561759924</v>
          </cell>
          <cell r="G135">
            <v>228.73304561759937</v>
          </cell>
          <cell r="H135">
            <v>276.33304561759928</v>
          </cell>
        </row>
        <row r="138">
          <cell r="C138">
            <v>452</v>
          </cell>
          <cell r="D138">
            <v>-56.018893086835426</v>
          </cell>
          <cell r="E138">
            <v>-13.41889308683529</v>
          </cell>
          <cell r="F138">
            <v>29.181106913164619</v>
          </cell>
          <cell r="G138">
            <v>71.781106913164763</v>
          </cell>
          <cell r="H138">
            <v>114.38110691316467</v>
          </cell>
        </row>
        <row r="140">
          <cell r="B140">
            <v>163</v>
          </cell>
          <cell r="C140">
            <v>502</v>
          </cell>
          <cell r="D140">
            <v>4.4811069131645738</v>
          </cell>
          <cell r="E140">
            <v>49.58110691316471</v>
          </cell>
          <cell r="F140">
            <v>94.681106913164626</v>
          </cell>
          <cell r="G140">
            <v>139.78110691316476</v>
          </cell>
          <cell r="H140">
            <v>184.88110691316467</v>
          </cell>
        </row>
        <row r="142">
          <cell r="C142">
            <v>552</v>
          </cell>
          <cell r="D142">
            <v>64.981106913164581</v>
          </cell>
          <cell r="E142">
            <v>112.58110691316472</v>
          </cell>
          <cell r="F142">
            <v>160.18110691316463</v>
          </cell>
          <cell r="G142">
            <v>207.78110691316476</v>
          </cell>
          <cell r="H142">
            <v>255.38110691316467</v>
          </cell>
        </row>
        <row r="145">
          <cell r="C145">
            <v>452</v>
          </cell>
          <cell r="D145">
            <v>-76.970831791270058</v>
          </cell>
          <cell r="E145">
            <v>-34.370831791269921</v>
          </cell>
          <cell r="F145">
            <v>8.2291682087299876</v>
          </cell>
          <cell r="G145">
            <v>50.829168208730124</v>
          </cell>
          <cell r="H145">
            <v>93.429168208730033</v>
          </cell>
        </row>
        <row r="147">
          <cell r="B147">
            <v>168</v>
          </cell>
          <cell r="C147">
            <v>502</v>
          </cell>
          <cell r="D147">
            <v>-16.470831791270058</v>
          </cell>
          <cell r="E147">
            <v>28.629168208730079</v>
          </cell>
          <cell r="F147">
            <v>73.729168208729988</v>
          </cell>
          <cell r="G147">
            <v>118.82916820873012</v>
          </cell>
          <cell r="H147">
            <v>163.92916820873003</v>
          </cell>
        </row>
        <row r="149">
          <cell r="C149">
            <v>552</v>
          </cell>
          <cell r="D149">
            <v>44.029168208729942</v>
          </cell>
          <cell r="E149">
            <v>91.629168208730079</v>
          </cell>
          <cell r="F149">
            <v>139.22916820872999</v>
          </cell>
          <cell r="G149">
            <v>186.82916820873012</v>
          </cell>
          <cell r="H149">
            <v>234.42916820873003</v>
          </cell>
        </row>
        <row r="152">
          <cell r="C152">
            <v>452</v>
          </cell>
          <cell r="D152">
            <v>-97.922770495704683</v>
          </cell>
          <cell r="E152">
            <v>-55.322770495704546</v>
          </cell>
          <cell r="F152">
            <v>-12.722770495704637</v>
          </cell>
          <cell r="G152">
            <v>29.877229504295499</v>
          </cell>
          <cell r="H152">
            <v>72.477229504295408</v>
          </cell>
        </row>
        <row r="154">
          <cell r="B154">
            <v>173</v>
          </cell>
          <cell r="C154">
            <v>502</v>
          </cell>
          <cell r="D154">
            <v>-37.422770495704683</v>
          </cell>
          <cell r="E154">
            <v>7.6772295042954539</v>
          </cell>
          <cell r="F154">
            <v>52.777229504295363</v>
          </cell>
          <cell r="G154">
            <v>97.877229504295499</v>
          </cell>
          <cell r="H154">
            <v>142.97722950429539</v>
          </cell>
        </row>
        <row r="156">
          <cell r="C156">
            <v>552</v>
          </cell>
          <cell r="D156">
            <v>23.077229504295317</v>
          </cell>
          <cell r="E156">
            <v>70.677229504295454</v>
          </cell>
          <cell r="F156">
            <v>118.27722950429536</v>
          </cell>
          <cell r="G156">
            <v>165.87722950429549</v>
          </cell>
          <cell r="H156">
            <v>213.47722950429539</v>
          </cell>
        </row>
        <row r="159">
          <cell r="C159">
            <v>452</v>
          </cell>
          <cell r="D159">
            <v>-118.87470920013953</v>
          </cell>
          <cell r="E159">
            <v>-76.274709200139398</v>
          </cell>
          <cell r="F159">
            <v>-33.674709200139496</v>
          </cell>
          <cell r="G159">
            <v>8.9252907998606403</v>
          </cell>
          <cell r="H159">
            <v>51.525290799860549</v>
          </cell>
        </row>
        <row r="161">
          <cell r="B161">
            <v>178</v>
          </cell>
          <cell r="C161">
            <v>502</v>
          </cell>
          <cell r="D161">
            <v>-58.374709200139542</v>
          </cell>
          <cell r="E161">
            <v>-13.274709200139405</v>
          </cell>
          <cell r="F161">
            <v>31.825290799860504</v>
          </cell>
          <cell r="G161">
            <v>76.925290799860647</v>
          </cell>
          <cell r="H161">
            <v>122.02529079986056</v>
          </cell>
        </row>
        <row r="163">
          <cell r="C163">
            <v>552</v>
          </cell>
          <cell r="D163">
            <v>2.1252907998604584</v>
          </cell>
          <cell r="E163">
            <v>49.725290799860595</v>
          </cell>
          <cell r="F163">
            <v>97.325290799860511</v>
          </cell>
          <cell r="G163">
            <v>144.92529079986065</v>
          </cell>
          <cell r="H163">
            <v>192.52529079986056</v>
          </cell>
        </row>
        <row r="165">
          <cell r="D165" t="str">
            <v xml:space="preserve">  (1) PRODUCTION COSTS ARE HELD CONSTANT.</v>
          </cell>
        </row>
        <row r="168">
          <cell r="B168" t="str">
            <v>REFERENCES: KEN KELLEY, REGIONAL EXTENSION AGENT</v>
          </cell>
        </row>
        <row r="169">
          <cell r="B169" t="str">
            <v xml:space="preserve">                             KIM MULLENIX, EXTENSION ANIMAL SCIENTIST</v>
          </cell>
        </row>
        <row r="170">
          <cell r="B170" t="str">
            <v xml:space="preserve">                             SOREN RODNING, EXTENSION VETERINARIAN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Est02"/>
      <sheetName val="FesGrz02"/>
      <sheetName val="StkPilFes02"/>
      <sheetName val="FesHay02"/>
      <sheetName val="OverSdPP02"/>
      <sheetName val="WAPG02"/>
      <sheetName val="WHET02"/>
      <sheetName val="WHTSIL02"/>
      <sheetName val="Data Request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Estab09"/>
      <sheetName val="FesGrz09"/>
      <sheetName val="StkPilFes09"/>
      <sheetName val="FesHay09"/>
      <sheetName val="OverSdPP09"/>
      <sheetName val="WAPG09"/>
      <sheetName val="WHET09"/>
      <sheetName val="ForageMach09  PRT"/>
      <sheetName val="Sheet4"/>
      <sheetName val="Data Request 2009"/>
      <sheetName val="Data Request 2008"/>
      <sheetName val="WHTSIL07"/>
      <sheetName val="Data Request 2007"/>
      <sheetName val="Data Request 2006"/>
      <sheetName val="Data Request 2005"/>
      <sheetName val="Data Request 2004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F197"/>
  <sheetViews>
    <sheetView showGridLines="0" tabSelected="1" zoomScale="75" zoomScaleNormal="100" zoomScaleSheetLayoutView="75" workbookViewId="0">
      <selection activeCell="J80" sqref="J80"/>
    </sheetView>
  </sheetViews>
  <sheetFormatPr defaultColWidth="11.7109375" defaultRowHeight="12.75" x14ac:dyDescent="0.2"/>
  <cols>
    <col min="1" max="1" width="11.7109375" style="1" customWidth="1"/>
    <col min="2" max="2" width="36.140625" style="1" customWidth="1"/>
    <col min="3" max="3" width="13.85546875" style="1" customWidth="1"/>
    <col min="4" max="4" width="16" style="1" customWidth="1"/>
    <col min="5" max="5" width="18.140625" style="1" customWidth="1"/>
    <col min="6" max="6" width="22.5703125" style="1" customWidth="1"/>
    <col min="7" max="7" width="18.42578125" style="2" customWidth="1"/>
    <col min="8" max="8" width="20.42578125" style="1" customWidth="1"/>
    <col min="9" max="9" width="13.85546875" style="1" customWidth="1"/>
    <col min="10" max="10" width="8.5703125" style="1" customWidth="1"/>
    <col min="11" max="11" width="12.5703125" style="1" customWidth="1"/>
    <col min="12" max="12" width="9.7109375" style="1" customWidth="1"/>
    <col min="13" max="13" width="7.5703125" style="1" customWidth="1"/>
    <col min="14" max="14" width="8.7109375" style="1" customWidth="1"/>
    <col min="15" max="15" width="7.5703125" style="1" customWidth="1"/>
    <col min="16" max="20" width="9.85546875" style="1" customWidth="1"/>
    <col min="21" max="21" width="12.140625" style="1" customWidth="1"/>
    <col min="22" max="22" width="8.7109375" style="1" customWidth="1"/>
    <col min="23" max="26" width="11.7109375" style="1" customWidth="1"/>
    <col min="27" max="27" width="12.140625" style="1" customWidth="1"/>
    <col min="28" max="16384" width="11.7109375" style="1"/>
  </cols>
  <sheetData>
    <row r="1" spans="1:13" x14ac:dyDescent="0.2">
      <c r="A1" s="146"/>
      <c r="B1" s="152"/>
      <c r="C1" s="1" t="s">
        <v>122</v>
      </c>
      <c r="L1" s="38"/>
      <c r="M1" s="38"/>
    </row>
    <row r="2" spans="1:13" x14ac:dyDescent="0.2">
      <c r="A2" s="146"/>
    </row>
    <row r="3" spans="1:13" x14ac:dyDescent="0.2">
      <c r="A3" s="146"/>
      <c r="B3" s="152"/>
      <c r="L3" s="38"/>
      <c r="M3" s="38"/>
    </row>
    <row r="4" spans="1:13" ht="15" x14ac:dyDescent="0.2">
      <c r="A4" s="146"/>
      <c r="B4" s="7"/>
      <c r="C4" s="3"/>
      <c r="D4" s="3"/>
      <c r="E4" s="3"/>
      <c r="M4" s="38"/>
    </row>
    <row r="5" spans="1:13" ht="15" x14ac:dyDescent="0.2">
      <c r="A5" s="146"/>
      <c r="B5" s="7"/>
      <c r="C5" s="3"/>
      <c r="D5" s="3"/>
      <c r="E5" s="3"/>
      <c r="K5" s="38"/>
      <c r="M5" s="77"/>
    </row>
    <row r="6" spans="1:13" ht="15" x14ac:dyDescent="0.2">
      <c r="A6" s="146"/>
      <c r="B6" s="7"/>
      <c r="C6" s="3"/>
      <c r="D6" s="3"/>
      <c r="E6" s="3"/>
      <c r="M6" s="38"/>
    </row>
    <row r="7" spans="1:13" ht="15" x14ac:dyDescent="0.2">
      <c r="A7" s="146"/>
      <c r="B7" s="7"/>
      <c r="C7" s="3"/>
      <c r="D7" s="3"/>
      <c r="E7" s="3"/>
    </row>
    <row r="8" spans="1:13" ht="15" x14ac:dyDescent="0.2">
      <c r="A8" s="146"/>
      <c r="B8" s="7"/>
      <c r="C8" s="3"/>
      <c r="D8" s="3"/>
      <c r="E8" s="3"/>
    </row>
    <row r="9" spans="1:13" ht="15" x14ac:dyDescent="0.2">
      <c r="A9" s="146"/>
      <c r="B9" s="7"/>
      <c r="C9" s="3"/>
      <c r="D9" s="3"/>
      <c r="E9" s="3"/>
      <c r="M9" s="38"/>
    </row>
    <row r="10" spans="1:13" ht="15" x14ac:dyDescent="0.2">
      <c r="A10" s="146"/>
      <c r="B10" s="7"/>
      <c r="C10" s="3"/>
      <c r="D10" s="3"/>
      <c r="E10" s="3"/>
    </row>
    <row r="11" spans="1:13" ht="15" x14ac:dyDescent="0.2">
      <c r="A11" s="146"/>
      <c r="B11" s="7"/>
      <c r="C11" s="3"/>
      <c r="D11" s="3"/>
      <c r="E11" s="3"/>
      <c r="F11" s="151"/>
      <c r="M11" s="38"/>
    </row>
    <row r="12" spans="1:13" ht="15" x14ac:dyDescent="0.2">
      <c r="A12" s="146"/>
      <c r="C12" s="3"/>
      <c r="D12" s="3"/>
      <c r="E12" s="3"/>
    </row>
    <row r="13" spans="1:13" ht="15" x14ac:dyDescent="0.2">
      <c r="A13" s="146"/>
      <c r="B13" s="7"/>
      <c r="C13" s="3"/>
      <c r="D13" s="3"/>
      <c r="E13" s="3"/>
    </row>
    <row r="14" spans="1:13" ht="33.75" x14ac:dyDescent="0.5">
      <c r="A14" s="146"/>
      <c r="B14" s="150" t="s">
        <v>121</v>
      </c>
      <c r="C14" s="3"/>
      <c r="D14" s="3"/>
      <c r="E14" s="3"/>
      <c r="M14" s="38"/>
    </row>
    <row r="15" spans="1:13" ht="15" x14ac:dyDescent="0.2">
      <c r="A15" s="146"/>
      <c r="B15" s="7"/>
      <c r="C15" s="3"/>
      <c r="D15" s="3"/>
      <c r="E15" s="3"/>
      <c r="K15" s="149">
        <f>E34*C34</f>
        <v>485.57000000000005</v>
      </c>
      <c r="L15" s="148" t="s">
        <v>120</v>
      </c>
      <c r="M15" s="147" t="s">
        <v>119</v>
      </c>
    </row>
    <row r="16" spans="1:13" x14ac:dyDescent="0.2">
      <c r="A16" s="146"/>
      <c r="B16" s="38"/>
    </row>
    <row r="17" spans="1:13" ht="15" x14ac:dyDescent="0.2">
      <c r="A17" s="146"/>
      <c r="B17" s="7" t="s">
        <v>118</v>
      </c>
    </row>
    <row r="18" spans="1:13" s="72" customFormat="1" ht="15.75" x14ac:dyDescent="0.25">
      <c r="A18" s="142">
        <v>60</v>
      </c>
      <c r="B18" s="75" t="s">
        <v>117</v>
      </c>
      <c r="C18" s="73"/>
      <c r="D18" s="73"/>
      <c r="E18" s="73"/>
      <c r="F18" s="73"/>
      <c r="G18" s="74"/>
      <c r="H18" s="73"/>
      <c r="I18" s="73"/>
      <c r="M18" s="145"/>
    </row>
    <row r="19" spans="1:13" ht="15.75" x14ac:dyDescent="0.25">
      <c r="A19" s="73"/>
      <c r="B19" s="14" t="s">
        <v>116</v>
      </c>
      <c r="C19" s="8"/>
      <c r="D19" s="8"/>
      <c r="E19" s="8"/>
      <c r="F19" s="8"/>
      <c r="G19" s="9"/>
      <c r="H19" s="8"/>
      <c r="I19" s="8"/>
    </row>
    <row r="20" spans="1:13" ht="15.75" x14ac:dyDescent="0.25">
      <c r="A20" s="142">
        <v>450</v>
      </c>
      <c r="B20" s="14" t="s">
        <v>115</v>
      </c>
      <c r="C20" s="8"/>
      <c r="D20" s="8"/>
      <c r="E20" s="8"/>
      <c r="F20" s="8"/>
      <c r="G20" s="9"/>
      <c r="H20" s="8"/>
      <c r="I20" s="8"/>
    </row>
    <row r="21" spans="1:13" ht="15.75" x14ac:dyDescent="0.25">
      <c r="A21" s="135">
        <v>2.6</v>
      </c>
      <c r="B21" s="14" t="s">
        <v>114</v>
      </c>
      <c r="C21" s="144">
        <v>150</v>
      </c>
      <c r="D21" s="14" t="s">
        <v>113</v>
      </c>
      <c r="E21" s="8"/>
      <c r="F21" s="8"/>
      <c r="G21" s="137" t="s">
        <v>107</v>
      </c>
      <c r="H21" s="11" t="s">
        <v>112</v>
      </c>
      <c r="I21" s="143"/>
    </row>
    <row r="22" spans="1:13" ht="15.75" x14ac:dyDescent="0.25">
      <c r="A22" s="142">
        <v>60</v>
      </c>
      <c r="B22" s="42" t="s">
        <v>111</v>
      </c>
      <c r="C22" s="141">
        <v>14</v>
      </c>
      <c r="D22" s="6" t="s">
        <v>110</v>
      </c>
      <c r="E22" s="8"/>
      <c r="F22" s="8"/>
      <c r="G22" s="137"/>
      <c r="H22" s="163">
        <v>143</v>
      </c>
      <c r="I22" s="140" t="s">
        <v>103</v>
      </c>
    </row>
    <row r="23" spans="1:13" ht="15.75" x14ac:dyDescent="0.25">
      <c r="A23" s="139">
        <v>250</v>
      </c>
      <c r="B23" s="42" t="s">
        <v>109</v>
      </c>
      <c r="C23" s="138">
        <v>10</v>
      </c>
      <c r="D23" s="14" t="s">
        <v>108</v>
      </c>
      <c r="E23" s="8"/>
      <c r="F23" s="8"/>
      <c r="G23" s="137" t="s">
        <v>107</v>
      </c>
      <c r="H23" s="11" t="s">
        <v>106</v>
      </c>
      <c r="I23" s="136"/>
    </row>
    <row r="24" spans="1:13" ht="15.75" x14ac:dyDescent="0.25">
      <c r="A24" s="135">
        <v>1.5</v>
      </c>
      <c r="B24" s="14" t="s">
        <v>105</v>
      </c>
      <c r="C24" s="134">
        <f>TRUNC(0.5+(A20+(C21*A21))*0.98)</f>
        <v>823</v>
      </c>
      <c r="D24" s="14" t="s">
        <v>104</v>
      </c>
      <c r="E24" s="8"/>
      <c r="F24" s="8"/>
      <c r="G24" s="133"/>
      <c r="H24" s="164">
        <v>-14</v>
      </c>
      <c r="I24" s="132" t="s">
        <v>103</v>
      </c>
      <c r="M24" s="38"/>
    </row>
    <row r="25" spans="1:13" ht="15" x14ac:dyDescent="0.2">
      <c r="A25" s="19"/>
      <c r="B25" s="19"/>
      <c r="C25" s="19"/>
      <c r="D25" s="19"/>
      <c r="E25" s="19"/>
      <c r="F25" s="19"/>
      <c r="G25" s="18"/>
      <c r="H25" s="19"/>
      <c r="I25" s="16"/>
      <c r="M25" s="38"/>
    </row>
    <row r="26" spans="1:13" ht="15" x14ac:dyDescent="0.2">
      <c r="A26" s="48"/>
      <c r="B26" s="8"/>
      <c r="C26" s="8"/>
      <c r="D26" s="8"/>
      <c r="E26" s="8"/>
      <c r="F26" s="8"/>
      <c r="G26" s="9"/>
      <c r="H26" s="8"/>
      <c r="I26" s="131"/>
      <c r="J26" s="38" t="s">
        <v>46</v>
      </c>
      <c r="M26" s="38"/>
    </row>
    <row r="27" spans="1:13" ht="15.75" x14ac:dyDescent="0.25">
      <c r="A27" s="130" t="s">
        <v>102</v>
      </c>
      <c r="B27" s="19"/>
      <c r="C27" s="19"/>
      <c r="D27" s="19"/>
      <c r="E27" s="19"/>
      <c r="F27" s="19"/>
      <c r="G27" s="18"/>
      <c r="H27" s="19"/>
      <c r="I27" s="19"/>
      <c r="J27" s="38" t="s">
        <v>46</v>
      </c>
      <c r="M27" s="38"/>
    </row>
    <row r="28" spans="1:13" ht="15" x14ac:dyDescent="0.2">
      <c r="A28" s="48"/>
      <c r="B28" s="8"/>
      <c r="C28" s="8"/>
      <c r="D28" s="21"/>
      <c r="E28" s="8"/>
      <c r="F28" s="8"/>
      <c r="G28" s="9"/>
      <c r="H28" s="8"/>
      <c r="I28" s="8"/>
      <c r="J28" s="38" t="s">
        <v>46</v>
      </c>
      <c r="M28" s="38"/>
    </row>
    <row r="29" spans="1:13" ht="15" x14ac:dyDescent="0.2">
      <c r="A29" s="8"/>
      <c r="B29" s="8"/>
      <c r="C29" s="129" t="s">
        <v>101</v>
      </c>
      <c r="D29" s="32" t="s">
        <v>100</v>
      </c>
      <c r="E29" s="129" t="s">
        <v>99</v>
      </c>
      <c r="F29" s="129" t="s">
        <v>98</v>
      </c>
      <c r="G29" s="128" t="s">
        <v>97</v>
      </c>
      <c r="H29" s="44" t="s">
        <v>96</v>
      </c>
      <c r="I29" s="127" t="s">
        <v>95</v>
      </c>
      <c r="J29" s="38" t="s">
        <v>46</v>
      </c>
      <c r="M29" s="38"/>
    </row>
    <row r="30" spans="1:13" ht="15" x14ac:dyDescent="0.2">
      <c r="A30" s="19"/>
      <c r="B30" s="68" t="s">
        <v>36</v>
      </c>
      <c r="C30" s="126"/>
      <c r="D30" s="125"/>
      <c r="E30" s="19"/>
      <c r="F30" s="124" t="s">
        <v>94</v>
      </c>
      <c r="G30" s="123" t="s">
        <v>93</v>
      </c>
      <c r="H30" s="122" t="s">
        <v>92</v>
      </c>
      <c r="I30" s="122" t="s">
        <v>21</v>
      </c>
      <c r="J30" s="38" t="s">
        <v>46</v>
      </c>
    </row>
    <row r="31" spans="1:13" ht="15" x14ac:dyDescent="0.2">
      <c r="A31" s="48"/>
      <c r="B31" s="8"/>
      <c r="C31" s="8"/>
      <c r="D31" s="21"/>
      <c r="E31" s="8"/>
      <c r="F31" s="8"/>
      <c r="G31" s="9"/>
      <c r="H31" s="8"/>
      <c r="I31" s="8"/>
      <c r="J31" s="38" t="s">
        <v>46</v>
      </c>
    </row>
    <row r="32" spans="1:13" ht="15" x14ac:dyDescent="0.2">
      <c r="A32" s="8"/>
      <c r="B32" s="8"/>
      <c r="C32" s="8"/>
      <c r="D32" s="21"/>
      <c r="E32" s="8"/>
      <c r="F32" s="8"/>
      <c r="G32" s="9"/>
      <c r="H32" s="8"/>
      <c r="I32" s="8"/>
      <c r="J32" s="38" t="s">
        <v>46</v>
      </c>
      <c r="L32" s="38"/>
      <c r="M32" s="38"/>
    </row>
    <row r="33" spans="1:14" ht="15" x14ac:dyDescent="0.2">
      <c r="A33" s="42" t="s">
        <v>91</v>
      </c>
      <c r="B33" s="8"/>
      <c r="C33" s="8"/>
      <c r="D33" s="21"/>
      <c r="E33" s="8"/>
      <c r="F33" s="8"/>
      <c r="G33" s="9"/>
      <c r="H33" s="8"/>
      <c r="I33" s="8"/>
      <c r="J33" s="38" t="s">
        <v>46</v>
      </c>
      <c r="M33" s="38"/>
    </row>
    <row r="34" spans="1:14" ht="15" x14ac:dyDescent="0.2">
      <c r="A34" s="14" t="s">
        <v>90</v>
      </c>
      <c r="B34" s="8"/>
      <c r="C34" s="121">
        <f>TRUNC(0.5+(A18*(1-(A24/100))))</f>
        <v>59</v>
      </c>
      <c r="D34" s="14" t="s">
        <v>87</v>
      </c>
      <c r="E34" s="120">
        <f>C24/100</f>
        <v>8.23</v>
      </c>
      <c r="F34" s="100">
        <f>H22+H24</f>
        <v>129</v>
      </c>
      <c r="G34" s="82">
        <f>E34*F34*C34</f>
        <v>62638.530000000006</v>
      </c>
      <c r="H34" s="114">
        <f>G34/$C$34</f>
        <v>1061.67</v>
      </c>
      <c r="I34" s="94">
        <f>H34/H34</f>
        <v>1</v>
      </c>
      <c r="J34" s="38" t="s">
        <v>46</v>
      </c>
      <c r="M34" s="38"/>
    </row>
    <row r="35" spans="1:14" ht="15" x14ac:dyDescent="0.2">
      <c r="A35" s="8"/>
      <c r="B35" s="8"/>
      <c r="C35" s="8"/>
      <c r="D35" s="118"/>
      <c r="E35" s="8"/>
      <c r="F35" s="115"/>
      <c r="G35" s="9"/>
      <c r="H35" s="114"/>
      <c r="I35" s="119"/>
      <c r="J35" s="38" t="s">
        <v>46</v>
      </c>
    </row>
    <row r="36" spans="1:14" ht="15" x14ac:dyDescent="0.2">
      <c r="A36" s="8"/>
      <c r="B36" s="8"/>
      <c r="C36" s="8"/>
      <c r="D36" s="118"/>
      <c r="E36" s="8"/>
      <c r="F36" s="117"/>
      <c r="G36" s="117"/>
      <c r="H36" s="114"/>
      <c r="I36" s="116"/>
      <c r="J36" s="38" t="s">
        <v>46</v>
      </c>
    </row>
    <row r="37" spans="1:14" ht="15" x14ac:dyDescent="0.2">
      <c r="A37" s="42" t="s">
        <v>89</v>
      </c>
      <c r="B37" s="8"/>
      <c r="C37" s="8"/>
      <c r="D37" s="118"/>
      <c r="E37" s="83" t="s">
        <v>46</v>
      </c>
      <c r="F37" s="117" t="s">
        <v>46</v>
      </c>
      <c r="G37" s="85" t="s">
        <v>46</v>
      </c>
      <c r="H37" s="114"/>
      <c r="I37" s="116"/>
      <c r="J37" s="38" t="s">
        <v>46</v>
      </c>
    </row>
    <row r="38" spans="1:14" ht="15" x14ac:dyDescent="0.2">
      <c r="A38" s="14" t="s">
        <v>88</v>
      </c>
      <c r="B38" s="8"/>
      <c r="C38" s="115">
        <f>A18</f>
        <v>60</v>
      </c>
      <c r="D38" s="14" t="s">
        <v>87</v>
      </c>
      <c r="E38" s="82">
        <f>A20/100</f>
        <v>4.5</v>
      </c>
      <c r="F38" s="100">
        <v>161</v>
      </c>
      <c r="G38" s="82">
        <f>F38*E38*C38</f>
        <v>43470</v>
      </c>
      <c r="H38" s="114">
        <f t="shared" ref="H38:H48" si="0">G38/$C$34</f>
        <v>736.77966101694915</v>
      </c>
      <c r="I38" s="94">
        <f t="shared" ref="I38:I48" si="1">H38/$H$62</f>
        <v>0.58669928324967369</v>
      </c>
      <c r="J38" s="38" t="s">
        <v>46</v>
      </c>
      <c r="M38" s="77"/>
    </row>
    <row r="39" spans="1:14" ht="15" x14ac:dyDescent="0.2">
      <c r="A39" s="46" t="s">
        <v>86</v>
      </c>
      <c r="B39" s="8"/>
      <c r="C39" s="8"/>
      <c r="D39" s="14" t="s">
        <v>82</v>
      </c>
      <c r="E39" s="82">
        <f>(5*C22*A18)/2000</f>
        <v>2.1</v>
      </c>
      <c r="F39" s="113">
        <v>250</v>
      </c>
      <c r="G39" s="82">
        <f t="shared" ref="G39:G46" si="2">F39*E39</f>
        <v>525</v>
      </c>
      <c r="H39" s="95">
        <f t="shared" si="0"/>
        <v>8.898305084745763</v>
      </c>
      <c r="I39" s="94">
        <f t="shared" si="1"/>
        <v>7.0857401358656244E-3</v>
      </c>
      <c r="J39" s="38" t="s">
        <v>46</v>
      </c>
    </row>
    <row r="40" spans="1:14" ht="15" x14ac:dyDescent="0.2">
      <c r="A40" s="14" t="s">
        <v>85</v>
      </c>
      <c r="B40" s="8"/>
      <c r="C40" s="8"/>
      <c r="D40" s="14" t="s">
        <v>82</v>
      </c>
      <c r="E40" s="82">
        <f>(((E34*100-A20)*A18*C23)/2000)-E39</f>
        <v>109.80000000000001</v>
      </c>
      <c r="F40" s="113">
        <v>175</v>
      </c>
      <c r="G40" s="82">
        <f t="shared" si="2"/>
        <v>19215.000000000004</v>
      </c>
      <c r="H40" s="95">
        <f t="shared" si="0"/>
        <v>325.67796610169495</v>
      </c>
      <c r="I40" s="94">
        <f t="shared" si="1"/>
        <v>0.25933808897268185</v>
      </c>
      <c r="J40" s="77" t="s">
        <v>46</v>
      </c>
    </row>
    <row r="41" spans="1:14" ht="15" x14ac:dyDescent="0.2">
      <c r="A41" s="14" t="s">
        <v>84</v>
      </c>
      <c r="B41" s="8"/>
      <c r="C41" s="8"/>
      <c r="D41" s="14" t="s">
        <v>75</v>
      </c>
      <c r="E41" s="82">
        <f>A18</f>
        <v>60</v>
      </c>
      <c r="F41" s="100">
        <v>24.05</v>
      </c>
      <c r="G41" s="82">
        <f t="shared" si="2"/>
        <v>1443</v>
      </c>
      <c r="H41" s="95">
        <f t="shared" si="0"/>
        <v>24.457627118644069</v>
      </c>
      <c r="I41" s="94">
        <f t="shared" si="1"/>
        <v>1.9475662887722088E-2</v>
      </c>
      <c r="J41" s="38" t="s">
        <v>46</v>
      </c>
      <c r="N41" s="161"/>
    </row>
    <row r="42" spans="1:14" ht="15" x14ac:dyDescent="0.2">
      <c r="A42" s="14" t="s">
        <v>83</v>
      </c>
      <c r="B42" s="8"/>
      <c r="C42" s="8"/>
      <c r="D42" s="14" t="s">
        <v>82</v>
      </c>
      <c r="E42" s="112">
        <f>(4*A18*C21)/2000</f>
        <v>18</v>
      </c>
      <c r="F42" s="100">
        <v>100</v>
      </c>
      <c r="G42" s="82">
        <f t="shared" si="2"/>
        <v>1800</v>
      </c>
      <c r="H42" s="95">
        <f t="shared" si="0"/>
        <v>30.508474576271187</v>
      </c>
      <c r="I42" s="94">
        <f t="shared" si="1"/>
        <v>2.4293966180110711E-2</v>
      </c>
    </row>
    <row r="43" spans="1:14" ht="15" x14ac:dyDescent="0.2">
      <c r="A43" s="14" t="s">
        <v>81</v>
      </c>
      <c r="B43" s="8"/>
      <c r="C43" s="8"/>
      <c r="D43" s="14" t="s">
        <v>80</v>
      </c>
      <c r="E43" s="112">
        <f>5*A18</f>
        <v>300</v>
      </c>
      <c r="F43" s="100">
        <v>12.5</v>
      </c>
      <c r="G43" s="82">
        <f t="shared" si="2"/>
        <v>3750</v>
      </c>
      <c r="H43" s="95">
        <f t="shared" si="0"/>
        <v>63.559322033898304</v>
      </c>
      <c r="I43" s="94">
        <f t="shared" si="1"/>
        <v>5.0612429541897312E-2</v>
      </c>
    </row>
    <row r="44" spans="1:14" ht="15" x14ac:dyDescent="0.2">
      <c r="A44" s="14" t="s">
        <v>79</v>
      </c>
      <c r="B44" s="8"/>
      <c r="C44" s="8"/>
      <c r="D44" s="14" t="s">
        <v>78</v>
      </c>
      <c r="E44" s="58">
        <v>0</v>
      </c>
      <c r="F44" s="100">
        <v>22</v>
      </c>
      <c r="G44" s="82">
        <f t="shared" si="2"/>
        <v>0</v>
      </c>
      <c r="H44" s="95">
        <f t="shared" si="0"/>
        <v>0</v>
      </c>
      <c r="I44" s="94">
        <f t="shared" si="1"/>
        <v>0</v>
      </c>
    </row>
    <row r="45" spans="1:14" ht="15" x14ac:dyDescent="0.2">
      <c r="A45" s="14" t="s">
        <v>77</v>
      </c>
      <c r="B45" s="8"/>
      <c r="C45" s="8"/>
      <c r="D45" s="14" t="s">
        <v>75</v>
      </c>
      <c r="E45" s="82">
        <f>C34</f>
        <v>59</v>
      </c>
      <c r="F45" s="100">
        <f>0.02*H34</f>
        <v>21.233400000000003</v>
      </c>
      <c r="G45" s="82">
        <f t="shared" si="2"/>
        <v>1252.7706000000003</v>
      </c>
      <c r="H45" s="95">
        <f t="shared" si="0"/>
        <v>21.233400000000003</v>
      </c>
      <c r="I45" s="94">
        <f t="shared" si="1"/>
        <v>1.6908203659909447E-2</v>
      </c>
      <c r="J45" s="38" t="s">
        <v>46</v>
      </c>
    </row>
    <row r="46" spans="1:14" ht="15" x14ac:dyDescent="0.2">
      <c r="A46" s="111" t="s">
        <v>76</v>
      </c>
      <c r="B46" s="8"/>
      <c r="C46" s="8"/>
      <c r="D46" s="14" t="s">
        <v>75</v>
      </c>
      <c r="E46" s="82">
        <f>+C34</f>
        <v>59</v>
      </c>
      <c r="F46" s="100">
        <v>2</v>
      </c>
      <c r="G46" s="82">
        <f t="shared" si="2"/>
        <v>118</v>
      </c>
      <c r="H46" s="95">
        <f t="shared" si="0"/>
        <v>2</v>
      </c>
      <c r="I46" s="94">
        <f t="shared" si="1"/>
        <v>1.5926044495850355E-3</v>
      </c>
      <c r="J46" s="38" t="s">
        <v>46</v>
      </c>
    </row>
    <row r="47" spans="1:14" ht="15" x14ac:dyDescent="0.2">
      <c r="A47" s="14" t="s">
        <v>74</v>
      </c>
      <c r="B47" s="8"/>
      <c r="C47" s="8"/>
      <c r="D47" s="14" t="s">
        <v>72</v>
      </c>
      <c r="E47" s="85" t="s">
        <v>46</v>
      </c>
      <c r="F47" s="110" t="s">
        <v>46</v>
      </c>
      <c r="G47" s="82">
        <f>L112</f>
        <v>121.16666666666666</v>
      </c>
      <c r="H47" s="95">
        <f t="shared" si="0"/>
        <v>2.0536723163841808</v>
      </c>
      <c r="I47" s="94">
        <f t="shared" si="1"/>
        <v>1.6353438345315266E-3</v>
      </c>
      <c r="J47" s="38" t="s">
        <v>46</v>
      </c>
    </row>
    <row r="48" spans="1:14" ht="15.75" thickBot="1" x14ac:dyDescent="0.25">
      <c r="A48" s="14" t="s">
        <v>73</v>
      </c>
      <c r="B48" s="8"/>
      <c r="C48" s="8"/>
      <c r="D48" s="14" t="s">
        <v>72</v>
      </c>
      <c r="E48" s="82">
        <f>((G38+G39)*C21/365)+((G40+G41+G42+G44)*(C21*0.67)/365)+((G43+G47)*(C21*0.5)/365)</f>
        <v>25059.223287671237</v>
      </c>
      <c r="F48" s="109">
        <v>5.5E-2</v>
      </c>
      <c r="G48" s="98">
        <f>F48*E48</f>
        <v>1378.2572808219181</v>
      </c>
      <c r="H48" s="97">
        <f t="shared" si="0"/>
        <v>23.360292895286747</v>
      </c>
      <c r="I48" s="96">
        <f t="shared" si="1"/>
        <v>1.8601853204321683E-2</v>
      </c>
      <c r="J48" s="38" t="s">
        <v>46</v>
      </c>
      <c r="K48" s="49">
        <f>G38*C21/365</f>
        <v>17864.383561643837</v>
      </c>
    </row>
    <row r="49" spans="1:10" ht="15" x14ac:dyDescent="0.2">
      <c r="A49" s="8"/>
      <c r="B49" s="8"/>
      <c r="C49" s="8"/>
      <c r="D49" s="21"/>
      <c r="E49" s="85" t="s">
        <v>46</v>
      </c>
      <c r="F49" s="83" t="s">
        <v>46</v>
      </c>
      <c r="G49" s="63"/>
      <c r="H49" s="95"/>
      <c r="I49" s="94"/>
      <c r="J49" s="38" t="s">
        <v>46</v>
      </c>
    </row>
    <row r="50" spans="1:10" ht="15" x14ac:dyDescent="0.2">
      <c r="A50" s="14" t="s">
        <v>71</v>
      </c>
      <c r="B50" s="8"/>
      <c r="C50" s="8"/>
      <c r="D50" s="21"/>
      <c r="E50" s="85" t="s">
        <v>46</v>
      </c>
      <c r="F50" s="83" t="s">
        <v>46</v>
      </c>
      <c r="G50" s="82">
        <f>SUM(G38:G48)</f>
        <v>73073.194547488587</v>
      </c>
      <c r="H50" s="95">
        <f>G50/$C$34</f>
        <v>1238.5287211438745</v>
      </c>
      <c r="I50" s="94">
        <f>SUM(I38:I48)</f>
        <v>0.98624317611629897</v>
      </c>
      <c r="J50" s="38" t="s">
        <v>46</v>
      </c>
    </row>
    <row r="51" spans="1:10" ht="15" x14ac:dyDescent="0.2">
      <c r="A51" s="8"/>
      <c r="B51" s="8"/>
      <c r="C51" s="8"/>
      <c r="D51" s="21"/>
      <c r="E51" s="85" t="s">
        <v>46</v>
      </c>
      <c r="F51" s="83" t="s">
        <v>46</v>
      </c>
      <c r="G51" s="85" t="s">
        <v>46</v>
      </c>
      <c r="H51" s="95"/>
      <c r="I51" s="94"/>
      <c r="J51" s="38" t="s">
        <v>46</v>
      </c>
    </row>
    <row r="52" spans="1:10" ht="15" x14ac:dyDescent="0.2">
      <c r="A52" s="108" t="s">
        <v>70</v>
      </c>
      <c r="B52" s="107"/>
      <c r="C52" s="107"/>
      <c r="D52" s="106"/>
      <c r="E52" s="105" t="s">
        <v>46</v>
      </c>
      <c r="F52" s="104" t="s">
        <v>46</v>
      </c>
      <c r="G52" s="103">
        <f>G34-G50</f>
        <v>-10434.664547488581</v>
      </c>
      <c r="H52" s="102">
        <f>G52/$C$34</f>
        <v>-176.85872114387425</v>
      </c>
      <c r="I52" s="101"/>
      <c r="J52" s="38" t="s">
        <v>46</v>
      </c>
    </row>
    <row r="53" spans="1:10" ht="15" x14ac:dyDescent="0.2">
      <c r="A53" s="8"/>
      <c r="B53" s="8"/>
      <c r="C53" s="8"/>
      <c r="D53" s="21"/>
      <c r="E53" s="85" t="s">
        <v>46</v>
      </c>
      <c r="F53" s="8"/>
      <c r="G53" s="85" t="s">
        <v>46</v>
      </c>
      <c r="H53" s="95"/>
      <c r="I53" s="94"/>
      <c r="J53" s="38" t="s">
        <v>46</v>
      </c>
    </row>
    <row r="54" spans="1:10" ht="15" x14ac:dyDescent="0.2">
      <c r="A54" s="42" t="s">
        <v>69</v>
      </c>
      <c r="B54" s="8"/>
      <c r="C54" s="8"/>
      <c r="D54" s="21"/>
      <c r="E54" s="85" t="s">
        <v>46</v>
      </c>
      <c r="F54" s="8"/>
      <c r="G54" s="85" t="s">
        <v>46</v>
      </c>
      <c r="H54" s="95"/>
      <c r="I54" s="94"/>
      <c r="J54" s="38" t="s">
        <v>46</v>
      </c>
    </row>
    <row r="55" spans="1:10" ht="15" x14ac:dyDescent="0.2">
      <c r="A55" s="14" t="s">
        <v>68</v>
      </c>
      <c r="B55" s="8"/>
      <c r="C55" s="8"/>
      <c r="D55" s="32" t="s">
        <v>67</v>
      </c>
      <c r="E55" s="82">
        <f>A18</f>
        <v>60</v>
      </c>
      <c r="F55" s="100">
        <v>2.5</v>
      </c>
      <c r="G55" s="82">
        <f>F55*E55</f>
        <v>150</v>
      </c>
      <c r="H55" s="95">
        <f>G55/$C$34</f>
        <v>2.5423728813559321</v>
      </c>
      <c r="I55" s="94">
        <f>H55/$H$62</f>
        <v>2.0244971816758923E-3</v>
      </c>
      <c r="J55" s="38" t="s">
        <v>46</v>
      </c>
    </row>
    <row r="56" spans="1:10" ht="15" x14ac:dyDescent="0.2">
      <c r="A56" s="14" t="s">
        <v>66</v>
      </c>
      <c r="B56" s="8"/>
      <c r="C56" s="8"/>
      <c r="D56" s="32" t="s">
        <v>63</v>
      </c>
      <c r="E56" s="82">
        <f>(F112+J112)/2</f>
        <v>3652.5</v>
      </c>
      <c r="F56" s="99">
        <v>6.5000000000000002E-2</v>
      </c>
      <c r="G56" s="82">
        <f>F56*E56</f>
        <v>237.41249999999999</v>
      </c>
      <c r="H56" s="95">
        <f>G56/$C$34</f>
        <v>4.0239406779661016</v>
      </c>
      <c r="I56" s="94">
        <f>H56/$H$62</f>
        <v>3.204272914297519E-3</v>
      </c>
      <c r="J56" s="38" t="s">
        <v>46</v>
      </c>
    </row>
    <row r="57" spans="1:10" ht="15" x14ac:dyDescent="0.2">
      <c r="A57" s="14" t="s">
        <v>65</v>
      </c>
      <c r="B57" s="8"/>
      <c r="C57" s="8"/>
      <c r="D57" s="32" t="s">
        <v>63</v>
      </c>
      <c r="E57" s="83" t="s">
        <v>46</v>
      </c>
      <c r="F57" s="83" t="s">
        <v>46</v>
      </c>
      <c r="G57" s="82">
        <f>K112</f>
        <v>579.08333333333337</v>
      </c>
      <c r="H57" s="95">
        <f>G57/$C$34</f>
        <v>9.8149717514124308</v>
      </c>
      <c r="I57" s="94">
        <f>H57/$H$62</f>
        <v>7.8156838419254325E-3</v>
      </c>
      <c r="J57" s="38" t="s">
        <v>46</v>
      </c>
    </row>
    <row r="58" spans="1:10" ht="15.75" thickBot="1" x14ac:dyDescent="0.25">
      <c r="A58" s="14" t="s">
        <v>64</v>
      </c>
      <c r="B58" s="8"/>
      <c r="C58" s="8"/>
      <c r="D58" s="32" t="s">
        <v>63</v>
      </c>
      <c r="E58" s="83" t="s">
        <v>46</v>
      </c>
      <c r="F58" s="83"/>
      <c r="G58" s="98">
        <f>M112</f>
        <v>52.78125</v>
      </c>
      <c r="H58" s="97">
        <f>G58/$C$34</f>
        <v>0.89459745762711862</v>
      </c>
      <c r="I58" s="96">
        <f>H58/$H$62</f>
        <v>7.123699458022047E-4</v>
      </c>
      <c r="J58" s="38" t="s">
        <v>46</v>
      </c>
    </row>
    <row r="59" spans="1:10" ht="15" x14ac:dyDescent="0.2">
      <c r="A59" s="8"/>
      <c r="B59" s="8"/>
      <c r="C59" s="8"/>
      <c r="D59" s="21"/>
      <c r="E59" s="83" t="s">
        <v>46</v>
      </c>
      <c r="F59" s="83" t="s">
        <v>46</v>
      </c>
      <c r="G59" s="63"/>
      <c r="H59" s="95"/>
      <c r="I59" s="94"/>
      <c r="J59" s="38" t="s">
        <v>46</v>
      </c>
    </row>
    <row r="60" spans="1:10" ht="15" x14ac:dyDescent="0.2">
      <c r="A60" s="14" t="s">
        <v>62</v>
      </c>
      <c r="B60" s="8"/>
      <c r="C60" s="8"/>
      <c r="D60" s="21"/>
      <c r="E60" s="83" t="s">
        <v>46</v>
      </c>
      <c r="F60" s="83" t="s">
        <v>46</v>
      </c>
      <c r="G60" s="82">
        <f>SUM(G55:G58)</f>
        <v>1019.2770833333334</v>
      </c>
      <c r="H60" s="95">
        <f>G60/$C$34</f>
        <v>17.275882768361583</v>
      </c>
      <c r="I60" s="94">
        <f>SUM(I55:I58)</f>
        <v>1.3756823883701048E-2</v>
      </c>
      <c r="J60" s="38" t="s">
        <v>46</v>
      </c>
    </row>
    <row r="61" spans="1:10" ht="15" x14ac:dyDescent="0.2">
      <c r="A61" s="8"/>
      <c r="B61" s="8"/>
      <c r="C61" s="8"/>
      <c r="D61" s="21"/>
      <c r="E61" s="83" t="s">
        <v>46</v>
      </c>
      <c r="F61" s="83" t="s">
        <v>46</v>
      </c>
      <c r="G61" s="85" t="s">
        <v>46</v>
      </c>
      <c r="H61" s="95"/>
      <c r="I61" s="94"/>
      <c r="J61" s="38" t="s">
        <v>46</v>
      </c>
    </row>
    <row r="62" spans="1:10" ht="15" x14ac:dyDescent="0.2">
      <c r="A62" s="42" t="s">
        <v>61</v>
      </c>
      <c r="B62" s="8"/>
      <c r="C62" s="8"/>
      <c r="D62" s="8"/>
      <c r="E62" s="83" t="s">
        <v>46</v>
      </c>
      <c r="F62" s="83" t="s">
        <v>46</v>
      </c>
      <c r="G62" s="82">
        <f>G50+G60</f>
        <v>74092.471630821921</v>
      </c>
      <c r="H62" s="95">
        <f>G62/$C$34</f>
        <v>1255.804603912236</v>
      </c>
      <c r="I62" s="94">
        <f>SUM(I38:I48,I55:I58)</f>
        <v>0.99999999999999989</v>
      </c>
      <c r="J62" s="38" t="s">
        <v>46</v>
      </c>
    </row>
    <row r="63" spans="1:10" ht="15" x14ac:dyDescent="0.2">
      <c r="A63" s="8"/>
      <c r="B63" s="8"/>
      <c r="C63" s="8"/>
      <c r="D63" s="8"/>
      <c r="E63" s="83" t="s">
        <v>46</v>
      </c>
      <c r="F63" s="83" t="s">
        <v>46</v>
      </c>
      <c r="G63" s="85" t="s">
        <v>46</v>
      </c>
      <c r="H63" s="95"/>
      <c r="I63" s="94"/>
      <c r="J63" s="38" t="s">
        <v>46</v>
      </c>
    </row>
    <row r="64" spans="1:10" ht="15.75" thickBot="1" x14ac:dyDescent="0.25">
      <c r="A64" s="93" t="s">
        <v>60</v>
      </c>
      <c r="B64" s="80"/>
      <c r="C64" s="80"/>
      <c r="D64" s="80"/>
      <c r="E64" s="80"/>
      <c r="F64" s="80"/>
      <c r="G64" s="79">
        <f>G34-G62</f>
        <v>-11453.941630821915</v>
      </c>
      <c r="H64" s="92">
        <f>G64/$C$34</f>
        <v>-194.13460391223586</v>
      </c>
      <c r="I64" s="91"/>
      <c r="J64" s="38" t="s">
        <v>46</v>
      </c>
    </row>
    <row r="65" spans="1:10" s="87" customFormat="1" ht="16.5" thickTop="1" thickBot="1" x14ac:dyDescent="0.25">
      <c r="A65" s="90"/>
      <c r="B65" s="80"/>
      <c r="C65" s="80"/>
      <c r="D65" s="80"/>
      <c r="E65" s="80"/>
      <c r="F65" s="80"/>
      <c r="G65" s="89"/>
      <c r="H65" s="89"/>
      <c r="I65" s="80"/>
      <c r="J65" s="88" t="s">
        <v>46</v>
      </c>
    </row>
    <row r="66" spans="1:10" ht="15.75" thickTop="1" x14ac:dyDescent="0.2">
      <c r="A66" s="14" t="s">
        <v>59</v>
      </c>
      <c r="B66" s="8"/>
      <c r="C66" s="8"/>
      <c r="D66" s="8"/>
      <c r="E66" s="8"/>
      <c r="F66" s="8"/>
      <c r="G66" s="82">
        <f>G34/C34</f>
        <v>1061.67</v>
      </c>
      <c r="H66" s="81"/>
      <c r="I66" s="81"/>
      <c r="J66" s="38" t="s">
        <v>46</v>
      </c>
    </row>
    <row r="67" spans="1:10" ht="15" x14ac:dyDescent="0.2">
      <c r="A67" s="8"/>
      <c r="B67" s="8"/>
      <c r="C67" s="8"/>
      <c r="D67" s="8"/>
      <c r="E67" s="8"/>
      <c r="F67" s="8"/>
      <c r="G67" s="9"/>
      <c r="H67" s="16"/>
      <c r="I67" s="8"/>
    </row>
    <row r="68" spans="1:10" ht="15" x14ac:dyDescent="0.2">
      <c r="A68" s="14" t="s">
        <v>58</v>
      </c>
      <c r="B68" s="8"/>
      <c r="C68" s="8"/>
      <c r="D68" s="8"/>
      <c r="E68" s="8"/>
      <c r="F68" s="8"/>
      <c r="G68" s="82">
        <f>G38/C34</f>
        <v>736.77966101694915</v>
      </c>
      <c r="H68" s="81"/>
      <c r="I68" s="81"/>
      <c r="J68" s="38" t="s">
        <v>46</v>
      </c>
    </row>
    <row r="69" spans="1:10" ht="15" x14ac:dyDescent="0.2">
      <c r="A69" s="8"/>
      <c r="B69" s="8"/>
      <c r="C69" s="8"/>
      <c r="D69" s="8"/>
      <c r="E69" s="8"/>
      <c r="F69" s="8"/>
      <c r="G69" s="9"/>
      <c r="H69" s="16"/>
      <c r="I69" s="8"/>
    </row>
    <row r="70" spans="1:10" ht="15" x14ac:dyDescent="0.2">
      <c r="A70" s="32">
        <f>((E34*C34)-E38*C38)/C34</f>
        <v>3.6537288135593227</v>
      </c>
      <c r="B70" s="14" t="s">
        <v>57</v>
      </c>
      <c r="C70" s="8"/>
      <c r="D70" s="83" t="s">
        <v>56</v>
      </c>
      <c r="E70" s="8"/>
      <c r="F70" s="8"/>
      <c r="G70" s="82">
        <f>G66-G68</f>
        <v>324.89033898305092</v>
      </c>
      <c r="H70" s="81"/>
      <c r="I70" s="81"/>
      <c r="J70" s="38" t="s">
        <v>46</v>
      </c>
    </row>
    <row r="71" spans="1:10" ht="15" x14ac:dyDescent="0.2">
      <c r="A71" s="8"/>
      <c r="B71" s="8"/>
      <c r="C71" s="8"/>
      <c r="D71" s="8"/>
      <c r="E71" s="8"/>
      <c r="F71" s="8"/>
      <c r="G71" s="9"/>
      <c r="H71" s="16"/>
      <c r="I71" s="8"/>
    </row>
    <row r="72" spans="1:10" ht="15" x14ac:dyDescent="0.2">
      <c r="A72" s="14" t="s">
        <v>55</v>
      </c>
      <c r="B72" s="8"/>
      <c r="C72" s="8"/>
      <c r="D72" s="8"/>
      <c r="E72" s="8"/>
      <c r="F72" s="8"/>
      <c r="G72" s="82">
        <f>(G62-G38)/C34</f>
        <v>519.02494289528681</v>
      </c>
      <c r="H72" s="81"/>
      <c r="I72" s="81"/>
      <c r="J72" s="38" t="s">
        <v>46</v>
      </c>
    </row>
    <row r="73" spans="1:10" ht="15" x14ac:dyDescent="0.2">
      <c r="A73" s="8"/>
      <c r="B73" s="8"/>
      <c r="C73" s="8"/>
      <c r="D73" s="8"/>
      <c r="E73" s="8"/>
      <c r="F73" s="8"/>
      <c r="G73" s="9"/>
      <c r="H73" s="16"/>
      <c r="I73" s="8"/>
    </row>
    <row r="74" spans="1:10" ht="15" x14ac:dyDescent="0.2">
      <c r="A74" s="14" t="s">
        <v>54</v>
      </c>
      <c r="B74" s="8"/>
      <c r="C74" s="8"/>
      <c r="D74" s="8"/>
      <c r="E74" s="8"/>
      <c r="F74" s="8"/>
      <c r="G74" s="82">
        <f>(G34-G38)/((E34*C34)-E38*C38)</f>
        <v>88.920211532216925</v>
      </c>
      <c r="H74" s="81"/>
      <c r="I74" s="81"/>
      <c r="J74" s="38" t="s">
        <v>46</v>
      </c>
    </row>
    <row r="75" spans="1:10" ht="15" x14ac:dyDescent="0.2">
      <c r="A75" s="8"/>
      <c r="B75" s="8"/>
      <c r="C75" s="8"/>
      <c r="D75" s="8"/>
      <c r="E75" s="8"/>
      <c r="F75" s="8"/>
      <c r="G75" s="9"/>
      <c r="H75" s="16"/>
      <c r="I75" s="8"/>
      <c r="J75" s="38" t="s">
        <v>46</v>
      </c>
    </row>
    <row r="76" spans="1:10" ht="15" x14ac:dyDescent="0.2">
      <c r="A76" s="14" t="s">
        <v>53</v>
      </c>
      <c r="B76" s="8"/>
      <c r="C76" s="8"/>
      <c r="D76" s="8"/>
      <c r="E76" s="8"/>
      <c r="F76" s="8"/>
      <c r="G76" s="82">
        <f>(G50-G38)/((E34*C34)-E38*C38)</f>
        <v>137.32520549004306</v>
      </c>
      <c r="H76" s="81"/>
      <c r="I76" s="81"/>
      <c r="J76" s="38" t="s">
        <v>46</v>
      </c>
    </row>
    <row r="77" spans="1:10" ht="15" x14ac:dyDescent="0.2">
      <c r="A77" s="8"/>
      <c r="B77" s="8"/>
      <c r="C77" s="8"/>
      <c r="D77" s="8"/>
      <c r="E77" s="8"/>
      <c r="F77" s="8"/>
      <c r="G77" s="9"/>
      <c r="H77" s="16"/>
      <c r="I77" s="8"/>
      <c r="J77" s="38" t="s">
        <v>46</v>
      </c>
    </row>
    <row r="78" spans="1:10" ht="15" x14ac:dyDescent="0.2">
      <c r="A78" s="14" t="s">
        <v>52</v>
      </c>
      <c r="B78" s="8"/>
      <c r="C78" s="8"/>
      <c r="D78" s="8"/>
      <c r="E78" s="8"/>
      <c r="F78" s="8"/>
      <c r="G78" s="82">
        <f>(G62-G38)/((E34*C34)-E38*C38)</f>
        <v>142.05349367176282</v>
      </c>
      <c r="H78" s="81"/>
      <c r="I78" s="81"/>
      <c r="J78" s="38" t="s">
        <v>46</v>
      </c>
    </row>
    <row r="79" spans="1:10" ht="15" x14ac:dyDescent="0.2">
      <c r="A79" s="8"/>
      <c r="B79" s="8"/>
      <c r="C79" s="8"/>
      <c r="D79" s="8"/>
      <c r="E79" s="8"/>
      <c r="F79" s="8"/>
      <c r="G79" s="9"/>
      <c r="H79" s="16"/>
      <c r="I79" s="8"/>
      <c r="J79" s="38" t="s">
        <v>46</v>
      </c>
    </row>
    <row r="80" spans="1:10" ht="15" x14ac:dyDescent="0.2">
      <c r="A80" s="14" t="s">
        <v>51</v>
      </c>
      <c r="B80" s="8"/>
      <c r="C80" s="8"/>
      <c r="D80" s="8"/>
      <c r="E80" s="8"/>
      <c r="F80" s="8"/>
      <c r="G80" s="82">
        <f>G52/C34</f>
        <v>-176.85872114387425</v>
      </c>
      <c r="H80" s="81"/>
      <c r="I80" s="81"/>
      <c r="J80" s="77" t="s">
        <v>46</v>
      </c>
    </row>
    <row r="81" spans="1:11" ht="15" x14ac:dyDescent="0.2">
      <c r="A81" s="8"/>
      <c r="B81" s="8"/>
      <c r="C81" s="8"/>
      <c r="D81" s="8"/>
      <c r="E81" s="83" t="s">
        <v>46</v>
      </c>
      <c r="F81" s="83" t="s">
        <v>46</v>
      </c>
      <c r="G81" s="85" t="s">
        <v>46</v>
      </c>
      <c r="H81" s="84"/>
      <c r="I81" s="83"/>
      <c r="J81" s="77" t="s">
        <v>46</v>
      </c>
    </row>
    <row r="82" spans="1:11" ht="15" x14ac:dyDescent="0.2">
      <c r="A82" s="14" t="s">
        <v>50</v>
      </c>
      <c r="B82" s="8"/>
      <c r="C82" s="8"/>
      <c r="D82" s="8"/>
      <c r="E82" s="8"/>
      <c r="F82" s="8"/>
      <c r="G82" s="82">
        <f>G64/C34</f>
        <v>-194.13460391223586</v>
      </c>
      <c r="H82" s="86"/>
      <c r="I82" s="86"/>
      <c r="J82" s="77" t="s">
        <v>46</v>
      </c>
    </row>
    <row r="83" spans="1:11" ht="15" x14ac:dyDescent="0.2">
      <c r="A83" s="8"/>
      <c r="B83" s="8"/>
      <c r="C83" s="8"/>
      <c r="D83" s="8"/>
      <c r="E83" s="8"/>
      <c r="F83" s="8"/>
      <c r="G83" s="9"/>
      <c r="H83" s="84"/>
      <c r="I83" s="83"/>
      <c r="J83" s="77" t="s">
        <v>46</v>
      </c>
    </row>
    <row r="84" spans="1:11" ht="15" x14ac:dyDescent="0.2">
      <c r="A84" s="14" t="s">
        <v>49</v>
      </c>
      <c r="B84" s="8"/>
      <c r="C84" s="8"/>
      <c r="D84" s="8"/>
      <c r="E84" s="8"/>
      <c r="F84" s="8"/>
      <c r="G84" s="82">
        <f>G50/(E34*C34)</f>
        <v>150.48951654239056</v>
      </c>
      <c r="H84" s="81"/>
      <c r="I84" s="81"/>
      <c r="J84" s="38" t="s">
        <v>46</v>
      </c>
    </row>
    <row r="85" spans="1:11" ht="15" x14ac:dyDescent="0.2">
      <c r="A85" s="8"/>
      <c r="B85" s="8"/>
      <c r="C85" s="8"/>
      <c r="D85" s="8"/>
      <c r="E85" s="83" t="s">
        <v>46</v>
      </c>
      <c r="F85" s="83" t="s">
        <v>46</v>
      </c>
      <c r="G85" s="85" t="s">
        <v>46</v>
      </c>
      <c r="H85" s="84"/>
      <c r="I85" s="83"/>
      <c r="J85" s="38" t="s">
        <v>46</v>
      </c>
    </row>
    <row r="86" spans="1:11" ht="15" x14ac:dyDescent="0.2">
      <c r="A86" s="14" t="s">
        <v>47</v>
      </c>
      <c r="B86" s="8"/>
      <c r="C86" s="8"/>
      <c r="D86" s="8"/>
      <c r="E86" s="8"/>
      <c r="F86" s="8"/>
      <c r="G86" s="82">
        <f>G62/(E34*C34)</f>
        <v>152.58865175118297</v>
      </c>
      <c r="H86" s="81"/>
      <c r="I86" s="81"/>
      <c r="J86" s="38" t="s">
        <v>46</v>
      </c>
    </row>
    <row r="87" spans="1:11" ht="15" x14ac:dyDescent="0.2">
      <c r="A87" s="8"/>
      <c r="B87" s="8"/>
      <c r="C87" s="8"/>
      <c r="D87" s="8"/>
      <c r="E87" s="8"/>
      <c r="F87" s="8"/>
      <c r="G87" s="9"/>
      <c r="H87" s="16"/>
      <c r="I87" s="8"/>
      <c r="J87" s="38" t="s">
        <v>46</v>
      </c>
    </row>
    <row r="88" spans="1:11" ht="15" x14ac:dyDescent="0.2">
      <c r="A88" s="14" t="s">
        <v>48</v>
      </c>
      <c r="B88" s="8"/>
      <c r="C88" s="8"/>
      <c r="D88" s="8"/>
      <c r="E88" s="8"/>
      <c r="F88" s="8"/>
      <c r="G88" s="82">
        <f>(G52+G38+(K48-K88))/(E38*C38)</f>
        <v>139.78679538092294</v>
      </c>
      <c r="H88" s="81"/>
      <c r="I88" s="81"/>
      <c r="J88" s="38" t="s">
        <v>46</v>
      </c>
      <c r="K88" s="49">
        <f>(E38*K89)*C21/365</f>
        <v>13157.284261306062</v>
      </c>
    </row>
    <row r="89" spans="1:11" ht="15" x14ac:dyDescent="0.2">
      <c r="A89" s="8"/>
      <c r="B89" s="8"/>
      <c r="C89" s="8"/>
      <c r="D89" s="8"/>
      <c r="E89" s="8"/>
      <c r="F89" s="8"/>
      <c r="G89" s="9"/>
      <c r="H89" s="8"/>
      <c r="I89" s="8"/>
      <c r="J89" s="38" t="s">
        <v>46</v>
      </c>
      <c r="K89" s="49">
        <f>(G64+G38)/E38</f>
        <v>7114.6796375951299</v>
      </c>
    </row>
    <row r="90" spans="1:11" ht="15.75" thickBot="1" x14ac:dyDescent="0.25">
      <c r="A90" s="53" t="s">
        <v>47</v>
      </c>
      <c r="B90" s="80"/>
      <c r="C90" s="80"/>
      <c r="D90" s="80"/>
      <c r="E90" s="80"/>
      <c r="F90" s="80"/>
      <c r="G90" s="79">
        <f>(G64+G38+(K48-K88))/(E38*C38)</f>
        <v>136.01169507228096</v>
      </c>
      <c r="H90" s="78"/>
      <c r="I90" s="78"/>
      <c r="J90" s="38" t="s">
        <v>46</v>
      </c>
    </row>
    <row r="91" spans="1:11" ht="15.75" thickTop="1" x14ac:dyDescent="0.2">
      <c r="A91" s="48"/>
      <c r="B91" s="8"/>
      <c r="C91" s="8"/>
      <c r="D91" s="8"/>
      <c r="E91" s="8"/>
      <c r="F91" s="8"/>
      <c r="G91" s="9"/>
      <c r="H91" s="8"/>
      <c r="I91" s="8"/>
      <c r="J91" s="77" t="s">
        <v>46</v>
      </c>
    </row>
    <row r="92" spans="1:11" ht="15" x14ac:dyDescent="0.2">
      <c r="A92" s="8"/>
      <c r="B92" s="8"/>
      <c r="C92" s="8"/>
      <c r="D92" s="8"/>
      <c r="E92" s="8"/>
      <c r="F92" s="8"/>
      <c r="G92" s="9"/>
      <c r="H92" s="8"/>
      <c r="I92" s="8"/>
    </row>
    <row r="93" spans="1:11" ht="15" x14ac:dyDescent="0.2">
      <c r="A93" s="14" t="s">
        <v>45</v>
      </c>
      <c r="B93" s="8"/>
      <c r="C93" s="8"/>
      <c r="D93" s="8"/>
      <c r="E93" s="8"/>
      <c r="F93" s="8"/>
      <c r="G93" s="9"/>
      <c r="H93" s="8"/>
      <c r="I93" s="8"/>
    </row>
    <row r="94" spans="1:11" ht="15" x14ac:dyDescent="0.2">
      <c r="A94" s="14"/>
      <c r="B94" s="8"/>
      <c r="C94" s="8"/>
      <c r="D94" s="8"/>
      <c r="E94" s="8"/>
      <c r="F94" s="8"/>
      <c r="G94" s="9"/>
      <c r="H94" s="8"/>
      <c r="I94" s="8"/>
    </row>
    <row r="95" spans="1:11" s="72" customFormat="1" ht="15.75" x14ac:dyDescent="0.25">
      <c r="A95" s="76">
        <f>A18</f>
        <v>60</v>
      </c>
      <c r="B95" s="75" t="str">
        <f>B18</f>
        <v xml:space="preserve"> HEAD: STOCKER-STEER BUDGET (DRYLOT USING A BY-PRODUCT AND GRAIN RATION);</v>
      </c>
      <c r="C95" s="73"/>
      <c r="D95" s="73"/>
      <c r="E95" s="73"/>
      <c r="F95" s="73"/>
      <c r="G95" s="74"/>
      <c r="H95" s="73"/>
      <c r="I95" s="73"/>
    </row>
    <row r="96" spans="1:11" ht="15" x14ac:dyDescent="0.2">
      <c r="A96" s="8"/>
      <c r="B96" s="71"/>
      <c r="C96" s="8"/>
      <c r="D96" s="8"/>
      <c r="E96" s="8"/>
      <c r="F96" s="8"/>
      <c r="G96" s="9"/>
      <c r="H96" s="8"/>
      <c r="I96" s="8"/>
    </row>
    <row r="97" spans="1:14" ht="15" x14ac:dyDescent="0.2">
      <c r="A97" s="70"/>
      <c r="B97" s="14"/>
      <c r="C97" s="8"/>
      <c r="D97" s="8"/>
      <c r="E97" s="8"/>
      <c r="F97" s="8"/>
      <c r="G97" s="9"/>
      <c r="H97" s="8"/>
      <c r="I97" s="8"/>
    </row>
    <row r="98" spans="1:14" ht="15" x14ac:dyDescent="0.2">
      <c r="A98" s="8"/>
      <c r="B98" s="8"/>
      <c r="C98" s="15" t="s">
        <v>44</v>
      </c>
      <c r="D98" s="8"/>
      <c r="E98" s="8"/>
      <c r="F98" s="8"/>
      <c r="G98" s="9"/>
      <c r="H98" s="8"/>
      <c r="I98" s="8"/>
    </row>
    <row r="99" spans="1:14" ht="15" x14ac:dyDescent="0.2">
      <c r="A99" s="8"/>
      <c r="B99" s="8"/>
      <c r="C99" s="8"/>
      <c r="D99" s="8"/>
      <c r="E99" s="8"/>
      <c r="F99" s="8"/>
      <c r="G99" s="9"/>
      <c r="H99" s="8"/>
      <c r="I99" s="8"/>
    </row>
    <row r="100" spans="1:14" ht="15" x14ac:dyDescent="0.2">
      <c r="A100" s="8"/>
      <c r="B100" s="69"/>
      <c r="C100" s="62" t="s">
        <v>43</v>
      </c>
      <c r="D100" s="62"/>
      <c r="E100" s="14" t="s">
        <v>42</v>
      </c>
      <c r="F100" s="62" t="s">
        <v>21</v>
      </c>
      <c r="G100" s="63" t="s">
        <v>40</v>
      </c>
      <c r="H100" s="62" t="s">
        <v>41</v>
      </c>
      <c r="I100" s="62"/>
      <c r="J100" s="38" t="s">
        <v>40</v>
      </c>
      <c r="K100" s="38" t="s">
        <v>39</v>
      </c>
      <c r="L100" s="38" t="s">
        <v>38</v>
      </c>
      <c r="M100" s="38" t="s">
        <v>37</v>
      </c>
    </row>
    <row r="101" spans="1:14" ht="15" x14ac:dyDescent="0.2">
      <c r="A101" s="68" t="s">
        <v>36</v>
      </c>
      <c r="B101" s="67"/>
      <c r="C101" s="65" t="s">
        <v>35</v>
      </c>
      <c r="D101" s="65" t="s">
        <v>34</v>
      </c>
      <c r="E101" s="65" t="s">
        <v>33</v>
      </c>
      <c r="F101" s="65" t="s">
        <v>33</v>
      </c>
      <c r="G101" s="66" t="s">
        <v>32</v>
      </c>
      <c r="H101" s="65" t="s">
        <v>31</v>
      </c>
      <c r="I101" s="64"/>
      <c r="J101" s="38" t="s">
        <v>30</v>
      </c>
      <c r="K101" s="38" t="s">
        <v>29</v>
      </c>
    </row>
    <row r="102" spans="1:14" ht="15" x14ac:dyDescent="0.2">
      <c r="A102" s="8"/>
      <c r="B102" s="15"/>
      <c r="C102" s="62"/>
      <c r="D102" s="62"/>
      <c r="E102" s="62"/>
      <c r="F102" s="62"/>
      <c r="G102" s="63"/>
      <c r="H102" s="62"/>
      <c r="I102" s="62"/>
    </row>
    <row r="103" spans="1:14" ht="15" x14ac:dyDescent="0.2">
      <c r="A103" s="48"/>
      <c r="B103" s="8"/>
      <c r="C103" s="8"/>
      <c r="D103" s="8"/>
      <c r="E103" s="8"/>
      <c r="F103" s="8"/>
      <c r="G103" s="9"/>
      <c r="H103" s="8"/>
      <c r="I103" s="8"/>
    </row>
    <row r="104" spans="1:14" ht="15" x14ac:dyDescent="0.2">
      <c r="A104" s="14" t="s">
        <v>28</v>
      </c>
      <c r="B104" s="60"/>
      <c r="C104" s="153">
        <v>2375</v>
      </c>
      <c r="D104" s="154">
        <v>1</v>
      </c>
      <c r="E104" s="154">
        <v>0.5</v>
      </c>
      <c r="F104" s="59">
        <f t="shared" ref="F104:F110" si="3">C104*D104*E104</f>
        <v>1187.5</v>
      </c>
      <c r="G104" s="112">
        <v>0</v>
      </c>
      <c r="H104" s="154">
        <v>15</v>
      </c>
      <c r="I104" s="57"/>
      <c r="J104" s="41">
        <f t="shared" ref="J104:J110" si="4">F104/100*G104</f>
        <v>0</v>
      </c>
      <c r="K104" s="41">
        <f t="shared" ref="K104:K110" si="5">IF(F104=0,0,(F104-J104)/H104)</f>
        <v>79.166666666666671</v>
      </c>
      <c r="L104" s="41">
        <f t="shared" ref="L104:L110" si="6">IF(F104=0,0,(0.2*F104)/H104)</f>
        <v>15.833333333333334</v>
      </c>
      <c r="M104" s="41">
        <f t="shared" ref="M104:M110" si="7">0.0075*F104</f>
        <v>8.90625</v>
      </c>
    </row>
    <row r="105" spans="1:14" ht="15" x14ac:dyDescent="0.2">
      <c r="A105" s="14" t="s">
        <v>27</v>
      </c>
      <c r="B105" s="60"/>
      <c r="C105" s="153">
        <v>3500</v>
      </c>
      <c r="D105" s="154">
        <v>1</v>
      </c>
      <c r="E105" s="154">
        <v>0.5</v>
      </c>
      <c r="F105" s="59">
        <f t="shared" si="3"/>
        <v>1750</v>
      </c>
      <c r="G105" s="112">
        <v>0</v>
      </c>
      <c r="H105" s="154">
        <v>15</v>
      </c>
      <c r="I105" s="57"/>
      <c r="J105" s="41">
        <f t="shared" si="4"/>
        <v>0</v>
      </c>
      <c r="K105" s="41">
        <f t="shared" si="5"/>
        <v>116.66666666666667</v>
      </c>
      <c r="L105" s="41">
        <f t="shared" si="6"/>
        <v>23.333333333333332</v>
      </c>
      <c r="M105" s="41">
        <f t="shared" si="7"/>
        <v>13.125</v>
      </c>
      <c r="N105" s="41">
        <v>54.1666666666667</v>
      </c>
    </row>
    <row r="106" spans="1:14" ht="15" x14ac:dyDescent="0.2">
      <c r="A106" s="14" t="s">
        <v>26</v>
      </c>
      <c r="B106" s="61"/>
      <c r="C106" s="153">
        <v>450</v>
      </c>
      <c r="D106" s="154">
        <v>3</v>
      </c>
      <c r="E106" s="154">
        <v>0.5</v>
      </c>
      <c r="F106" s="59">
        <f t="shared" si="3"/>
        <v>675</v>
      </c>
      <c r="G106" s="112">
        <v>0</v>
      </c>
      <c r="H106" s="154">
        <v>10</v>
      </c>
      <c r="I106" s="57"/>
      <c r="J106" s="41">
        <f t="shared" si="4"/>
        <v>0</v>
      </c>
      <c r="K106" s="41">
        <f t="shared" si="5"/>
        <v>67.5</v>
      </c>
      <c r="L106" s="41">
        <f t="shared" si="6"/>
        <v>13.5</v>
      </c>
      <c r="M106" s="41">
        <f t="shared" si="7"/>
        <v>5.0625</v>
      </c>
      <c r="N106" s="161">
        <v>16</v>
      </c>
    </row>
    <row r="107" spans="1:14" ht="15" x14ac:dyDescent="0.2">
      <c r="A107" s="14" t="s">
        <v>25</v>
      </c>
      <c r="B107" s="61"/>
      <c r="C107" s="153">
        <v>750</v>
      </c>
      <c r="D107" s="154">
        <v>2</v>
      </c>
      <c r="E107" s="154">
        <v>0.5</v>
      </c>
      <c r="F107" s="59">
        <f t="shared" si="3"/>
        <v>750</v>
      </c>
      <c r="G107" s="112">
        <v>0</v>
      </c>
      <c r="H107" s="154">
        <v>10</v>
      </c>
      <c r="I107" s="57"/>
      <c r="J107" s="41">
        <f t="shared" si="4"/>
        <v>0</v>
      </c>
      <c r="K107" s="41">
        <f t="shared" si="5"/>
        <v>75</v>
      </c>
      <c r="L107" s="41">
        <f t="shared" si="6"/>
        <v>15</v>
      </c>
      <c r="M107" s="41">
        <f t="shared" si="7"/>
        <v>5.625</v>
      </c>
      <c r="N107" s="161">
        <v>16</v>
      </c>
    </row>
    <row r="108" spans="1:14" ht="15" x14ac:dyDescent="0.2">
      <c r="A108" s="14" t="s">
        <v>24</v>
      </c>
      <c r="B108" s="60"/>
      <c r="C108" s="153">
        <v>5350</v>
      </c>
      <c r="D108" s="154">
        <v>1</v>
      </c>
      <c r="E108" s="154">
        <v>0.5</v>
      </c>
      <c r="F108" s="59">
        <f t="shared" si="3"/>
        <v>2675</v>
      </c>
      <c r="G108" s="112">
        <v>10</v>
      </c>
      <c r="H108" s="154">
        <v>10</v>
      </c>
      <c r="I108" s="57"/>
      <c r="J108" s="41">
        <f t="shared" si="4"/>
        <v>267.5</v>
      </c>
      <c r="K108" s="41">
        <f t="shared" si="5"/>
        <v>240.75</v>
      </c>
      <c r="L108" s="41">
        <f t="shared" si="6"/>
        <v>53.5</v>
      </c>
      <c r="M108" s="41">
        <f t="shared" si="7"/>
        <v>20.0625</v>
      </c>
      <c r="N108" s="41">
        <v>84.1666666666667</v>
      </c>
    </row>
    <row r="109" spans="1:14" s="5" customFormat="1" ht="15" x14ac:dyDescent="0.2">
      <c r="A109" s="56" t="s">
        <v>23</v>
      </c>
      <c r="B109" s="55"/>
      <c r="C109" s="155">
        <v>15000</v>
      </c>
      <c r="D109" s="156">
        <v>1</v>
      </c>
      <c r="E109" s="156">
        <v>0.1</v>
      </c>
      <c r="F109" s="54">
        <f t="shared" si="3"/>
        <v>1500</v>
      </c>
      <c r="G109" s="157">
        <v>25</v>
      </c>
      <c r="H109" s="156">
        <v>10</v>
      </c>
      <c r="I109" s="50"/>
      <c r="J109" s="162">
        <f t="shared" si="4"/>
        <v>375</v>
      </c>
      <c r="K109" s="162">
        <f t="shared" si="5"/>
        <v>112.5</v>
      </c>
      <c r="L109" s="162">
        <f t="shared" si="6"/>
        <v>30</v>
      </c>
      <c r="M109" s="162">
        <f t="shared" si="7"/>
        <v>11.25</v>
      </c>
      <c r="N109" s="162">
        <v>3.75</v>
      </c>
    </row>
    <row r="110" spans="1:14" ht="15.75" thickBot="1" x14ac:dyDescent="0.25">
      <c r="A110" s="53" t="s">
        <v>22</v>
      </c>
      <c r="B110" s="52"/>
      <c r="C110" s="158">
        <v>23750</v>
      </c>
      <c r="D110" s="159">
        <v>1</v>
      </c>
      <c r="E110" s="159">
        <v>0.1</v>
      </c>
      <c r="F110" s="51">
        <f t="shared" si="3"/>
        <v>2375</v>
      </c>
      <c r="G110" s="160">
        <v>20</v>
      </c>
      <c r="H110" s="159">
        <v>7</v>
      </c>
      <c r="I110" s="50"/>
      <c r="J110" s="161">
        <f t="shared" si="4"/>
        <v>475</v>
      </c>
      <c r="K110" s="161">
        <f t="shared" si="5"/>
        <v>271.42857142857144</v>
      </c>
      <c r="L110" s="161">
        <f t="shared" si="6"/>
        <v>67.857142857142861</v>
      </c>
      <c r="M110" s="161">
        <f t="shared" si="7"/>
        <v>17.8125</v>
      </c>
      <c r="N110" s="161">
        <v>3.75</v>
      </c>
    </row>
    <row r="111" spans="1:14" ht="15.75" thickTop="1" x14ac:dyDescent="0.2">
      <c r="A111" s="48"/>
      <c r="B111" s="8"/>
      <c r="C111" s="8"/>
      <c r="D111" s="8"/>
      <c r="E111" s="8"/>
      <c r="F111" s="8"/>
      <c r="G111" s="9"/>
      <c r="H111" s="8"/>
      <c r="I111" s="8"/>
    </row>
    <row r="112" spans="1:14" ht="15" x14ac:dyDescent="0.2">
      <c r="A112" s="14" t="s">
        <v>21</v>
      </c>
      <c r="B112" s="8"/>
      <c r="C112" s="8"/>
      <c r="D112" s="8"/>
      <c r="E112" s="8"/>
      <c r="F112" s="47">
        <f>SUM(F104:F108)</f>
        <v>7037.5</v>
      </c>
      <c r="G112" s="9"/>
      <c r="H112" s="8"/>
      <c r="I112" s="8"/>
      <c r="J112" s="41">
        <f>SUM(J104:J108)</f>
        <v>267.5</v>
      </c>
      <c r="K112" s="41">
        <f>SUM(K104:K108)</f>
        <v>579.08333333333337</v>
      </c>
      <c r="L112" s="41">
        <f>SUM(L104:L108)</f>
        <v>121.16666666666666</v>
      </c>
      <c r="M112" s="41">
        <f>SUM(M104:M108)</f>
        <v>52.78125</v>
      </c>
    </row>
    <row r="113" spans="1:32" ht="15" x14ac:dyDescent="0.2">
      <c r="A113" s="8"/>
      <c r="B113" s="8"/>
      <c r="C113" s="8"/>
      <c r="D113" s="8"/>
      <c r="E113" s="8"/>
      <c r="F113" s="8"/>
      <c r="G113" s="9"/>
      <c r="H113" s="8"/>
      <c r="I113" s="8"/>
    </row>
    <row r="114" spans="1:32" ht="15" x14ac:dyDescent="0.2">
      <c r="A114" s="8"/>
      <c r="B114" s="46" t="s">
        <v>20</v>
      </c>
      <c r="C114" s="8"/>
      <c r="D114" s="8"/>
      <c r="E114" s="8"/>
      <c r="F114" s="8"/>
      <c r="G114" s="9"/>
      <c r="H114" s="8"/>
      <c r="I114" s="8"/>
    </row>
    <row r="115" spans="1:32" ht="15" x14ac:dyDescent="0.2">
      <c r="A115" s="8"/>
      <c r="B115" s="14" t="s">
        <v>19</v>
      </c>
      <c r="C115" s="8"/>
      <c r="D115" s="8"/>
      <c r="E115" s="8"/>
      <c r="F115" s="8"/>
      <c r="G115" s="9"/>
      <c r="H115" s="8"/>
      <c r="I115" s="8"/>
    </row>
    <row r="116" spans="1:32" ht="15" x14ac:dyDescent="0.2">
      <c r="A116" s="8"/>
      <c r="B116" s="8"/>
      <c r="C116" s="8"/>
      <c r="D116" s="8"/>
      <c r="E116" s="8"/>
      <c r="F116" s="8"/>
      <c r="G116" s="9"/>
      <c r="H116" s="8"/>
      <c r="I116" s="8"/>
    </row>
    <row r="117" spans="1:32" ht="15" x14ac:dyDescent="0.2">
      <c r="A117" s="8"/>
      <c r="B117" s="32" t="s">
        <v>18</v>
      </c>
      <c r="C117" s="15" t="s">
        <v>17</v>
      </c>
      <c r="D117" s="8"/>
      <c r="E117" s="8" t="s">
        <v>16</v>
      </c>
      <c r="F117" s="8"/>
      <c r="G117" s="9"/>
      <c r="H117" s="8"/>
      <c r="I117" s="8"/>
    </row>
    <row r="118" spans="1:32" ht="15" x14ac:dyDescent="0.2">
      <c r="A118" s="45">
        <f>A20</f>
        <v>450</v>
      </c>
      <c r="B118" s="32" t="s">
        <v>15</v>
      </c>
      <c r="C118" s="15" t="s">
        <v>14</v>
      </c>
      <c r="D118" s="8"/>
      <c r="E118" s="14" t="s">
        <v>13</v>
      </c>
      <c r="F118" s="8"/>
      <c r="G118" s="9"/>
      <c r="H118" s="8"/>
      <c r="I118" s="8"/>
    </row>
    <row r="119" spans="1:32" ht="15" x14ac:dyDescent="0.2">
      <c r="A119" s="8"/>
      <c r="B119" s="32" t="s">
        <v>11</v>
      </c>
      <c r="C119" s="15" t="s">
        <v>12</v>
      </c>
      <c r="D119" s="8"/>
      <c r="E119" s="14" t="s">
        <v>11</v>
      </c>
      <c r="F119" s="8"/>
      <c r="G119" s="9"/>
      <c r="H119" s="8"/>
      <c r="I119" s="8"/>
      <c r="AC119" s="38" t="s">
        <v>10</v>
      </c>
    </row>
    <row r="120" spans="1:32" ht="15" x14ac:dyDescent="0.2">
      <c r="A120" s="8"/>
      <c r="B120" s="44"/>
      <c r="C120" s="43" t="s">
        <v>9</v>
      </c>
      <c r="D120" s="8"/>
      <c r="E120" s="42"/>
      <c r="F120" s="8"/>
      <c r="G120" s="9"/>
      <c r="H120" s="8"/>
      <c r="I120" s="8"/>
      <c r="AC120" s="38"/>
    </row>
    <row r="121" spans="1:32" ht="15" x14ac:dyDescent="0.2">
      <c r="A121" s="8"/>
      <c r="B121" s="8"/>
      <c r="C121" s="8"/>
      <c r="D121" s="8"/>
      <c r="E121" s="8"/>
      <c r="F121" s="8"/>
      <c r="G121" s="9"/>
      <c r="H121" s="8"/>
      <c r="I121" s="8"/>
      <c r="AC121" s="38" t="s">
        <v>8</v>
      </c>
      <c r="AE121" s="41">
        <f>A18</f>
        <v>60</v>
      </c>
      <c r="AF121" s="38" t="s">
        <v>7</v>
      </c>
    </row>
    <row r="122" spans="1:32" ht="15" x14ac:dyDescent="0.2">
      <c r="A122" s="8"/>
      <c r="B122" s="21"/>
      <c r="C122" s="8"/>
      <c r="D122" s="39">
        <f>F122-10</f>
        <v>119</v>
      </c>
      <c r="E122" s="39">
        <f>F122-5</f>
        <v>124</v>
      </c>
      <c r="F122" s="39">
        <f>F34</f>
        <v>129</v>
      </c>
      <c r="G122" s="40">
        <f>F122+5</f>
        <v>134</v>
      </c>
      <c r="H122" s="39">
        <f>F122+10</f>
        <v>139</v>
      </c>
      <c r="I122" s="23"/>
      <c r="AB122" s="38" t="s">
        <v>6</v>
      </c>
    </row>
    <row r="123" spans="1:32" ht="15" x14ac:dyDescent="0.2">
      <c r="A123" s="8"/>
      <c r="B123" s="21"/>
      <c r="C123" s="16"/>
      <c r="D123" s="37"/>
      <c r="E123" s="8"/>
      <c r="F123" s="8"/>
      <c r="G123" s="9"/>
      <c r="H123" s="36"/>
      <c r="I123" s="16"/>
    </row>
    <row r="124" spans="1:32" ht="15.75" x14ac:dyDescent="0.25">
      <c r="A124" s="8"/>
      <c r="B124" s="21"/>
      <c r="C124" s="16"/>
      <c r="D124" s="35"/>
      <c r="E124" s="34" t="s">
        <v>5</v>
      </c>
      <c r="F124" s="8"/>
      <c r="G124" s="9"/>
      <c r="H124" s="29"/>
      <c r="I124" s="16"/>
    </row>
    <row r="125" spans="1:32" ht="15" x14ac:dyDescent="0.2">
      <c r="A125" s="8"/>
      <c r="B125" s="21"/>
      <c r="C125" s="16"/>
      <c r="D125" s="31"/>
      <c r="E125" s="8"/>
      <c r="F125" s="8"/>
      <c r="G125" s="9"/>
      <c r="H125" s="29"/>
      <c r="I125" s="16"/>
    </row>
    <row r="126" spans="1:32" ht="15" x14ac:dyDescent="0.2">
      <c r="A126" s="8"/>
      <c r="B126" s="21"/>
      <c r="C126" s="27">
        <f>C140</f>
        <v>323</v>
      </c>
      <c r="D126" s="26">
        <f>(D$122*(($A$20+$C126)*0.01))-(($C$38*$E$38*$B$128+$G$40+$G$41+$G$39+$G$42+$G$43+$G$44+$G$45+$G$46+$G$47+$G$60)/$C$34)-((($C$38*$E$38*$B$128+$G$39)*$C$21/365)+(($G$40+$G$41+$G$42+$G$44)*(($C$21*0.67)/365))+(($G$43+$G$47)*($C$21*0.5)/365))*$F$48/$C$34</f>
        <v>-289.13752938240088</v>
      </c>
      <c r="E126" s="23">
        <f>(E$122*(($A$20+$C126)*0.01))-(($C$38*$E$38*$B$128+$G$40+$G$41+$G$39+$G$42+$G$43+$G$44+$G$45+$G$46+$G$47+$G$60)/$C$34)-((($C$38*$E$38*$B$128+$G$39)*$C$21/365)+(($G$40+$G$41+$G$42+$G$44)*(($C$21*0.67)/365))+(($G$43+$G$47)*($C$21*0.5)/365))*$F$48/$C$34</f>
        <v>-250.48752938240079</v>
      </c>
      <c r="F126" s="23">
        <f>(F$122*(($A$20+$C126)*0.01))-(($C$38*$E$38*$B$128+$G$40+$G$41+$G$39+$G$42+$G$43+$G$44+$G$45+$G$46+$G$47+$G$60)/$C$34)-((($C$38*$E$38*$B$128+$G$39)*$C$21/365)+(($G$40+$G$41+$G$42+$G$44)*(($C$21*0.67)/365))+(($G$43+$G$47)*($C$21*0.5)/365))*$F$48/$C$34</f>
        <v>-211.83752938240082</v>
      </c>
      <c r="G126" s="25">
        <f>(G$122*(($A$20+$C126)*0.01))-(($C$38*$E$38*$B$128+$G$40+$G$41+$G$39+$G$42+$G$43+$G$44+$G$45+$G$46+$G$47+$G$60)/$C$34)-((($C$38*$E$38*$B$128+$G$39)*$C$21/365)+(($G$40+$G$41+$G$42+$G$44)*(($C$21*0.67)/365))+(($G$43+$G$47)*($C$21*0.5)/365))*$F$48/$C$34</f>
        <v>-173.18752938240073</v>
      </c>
      <c r="H126" s="24">
        <f>(H$122*(($A$20+$C126)*0.01))-(($C$38*$E$38*$B$128+$G$40+$G$41+$G$39+$G$42+$G$43+$G$44+$G$45+$G$46+$G$47+$G$60)/$C$34)-((($C$38*$E$38*$B$128+$G$39)*$C$21/365)+(($G$40+$G$41+$G$42+$G$44)*(($C$21*0.67)/365))+(($G$43+$G$47)*($C$21*0.5)/365))*$F$48/$C$34</f>
        <v>-134.53752938240086</v>
      </c>
      <c r="I126" s="23"/>
      <c r="J126" s="22"/>
      <c r="K126" s="22"/>
      <c r="L126" s="22"/>
      <c r="M126" s="22"/>
      <c r="N126" s="22"/>
      <c r="O126" s="22"/>
    </row>
    <row r="127" spans="1:32" ht="15" x14ac:dyDescent="0.2">
      <c r="A127" s="8"/>
      <c r="B127" s="21"/>
      <c r="C127" s="16"/>
      <c r="D127" s="31"/>
      <c r="E127" s="16"/>
      <c r="F127" s="16"/>
      <c r="G127" s="30"/>
      <c r="H127" s="29"/>
      <c r="I127" s="16"/>
      <c r="J127" s="28"/>
      <c r="K127" s="28"/>
      <c r="L127" s="28"/>
      <c r="M127" s="28"/>
      <c r="N127" s="28"/>
      <c r="O127" s="28"/>
    </row>
    <row r="128" spans="1:32" ht="15" x14ac:dyDescent="0.2">
      <c r="A128" s="8"/>
      <c r="B128" s="32">
        <f>B142-10</f>
        <v>151</v>
      </c>
      <c r="C128" s="27">
        <f>C142</f>
        <v>373</v>
      </c>
      <c r="D128" s="26">
        <f>(D$122*(($A$20+$C128)*0.01))-(($C$38*$E$38*$B$128+$G$40+$G$41+$G$39+$G$42+$G$43+$G$44+$G$45+$G$46+$G$47+$G$60)/$C$34)-((($C$38*$E$38*$B$128+$G$39)*$C$21/365)+(($G$40+$G$41+$G$42+$G$44)*(($C$21*0.67)/365))+(($G$43+$G$47)*($C$21*0.5)/365))*$F$48/$C$34</f>
        <v>-229.63752938240088</v>
      </c>
      <c r="E128" s="23">
        <f>(E$122*(($A$20+$C128)*0.01))-(($C$38*$E$38*$B$128+$G$40+$G$41+$G$39+$G$42+$G$43+$G$44+$G$45+$G$46+$G$47+$G$60)/$C$34)-((($C$38*$E$38*$B$128+$G$39)*$C$21/365)+(($G$40+$G$41+$G$42+$G$44)*(($C$21*0.67)/365))+(($G$43+$G$47)*($C$21*0.5)/365))*$F$48/$C$34</f>
        <v>-188.48752938240079</v>
      </c>
      <c r="F128" s="23">
        <f>(F$122*(($A$20+$C128)*0.01))-(($C$38*$E$38*$B$128+$G$40+$G$41+$G$39+$G$42+$G$43+$G$44+$G$45+$G$46+$G$47+$G$60)/$C$34)-((($C$38*$E$38*$B$128+$G$39)*$C$21/365)+(($G$40+$G$41+$G$42+$G$44)*(($C$21*0.67)/365))+(($G$43+$G$47)*($C$21*0.5)/365))*$F$48/$C$34</f>
        <v>-147.33752938240082</v>
      </c>
      <c r="G128" s="25">
        <f>(G$122*(($A$20+$C128)*0.01))-(($C$38*$E$38*$B$128+$G$40+$G$41+$G$39+$G$42+$G$43+$G$44+$G$45+$G$46+$G$47+$G$60)/$C$34)-((($C$38*$E$38*$B$128+$G$39)*$C$21/365)+(($G$40+$G$41+$G$42+$G$44)*(($C$21*0.67)/365))+(($G$43+$G$47)*($C$21*0.5)/365))*$F$48/$C$34</f>
        <v>-106.18752938240071</v>
      </c>
      <c r="H128" s="24">
        <f>(H$122*(($A$20+$C128)*0.01))-(($C$38*$E$38*$B$128+$G$40+$G$41+$G$39+$G$42+$G$43+$G$44+$G$45+$G$46+$G$47+$G$60)/$C$34)-((($C$38*$E$38*$B$128+$G$39)*$C$21/365)+(($G$40+$G$41+$G$42+$G$44)*(($C$21*0.67)/365))+(($G$43+$G$47)*($C$21*0.5)/365))*$F$48/$C$34</f>
        <v>-65.037529382400848</v>
      </c>
      <c r="I128" s="23"/>
      <c r="J128" s="22"/>
      <c r="K128" s="22"/>
      <c r="L128" s="22"/>
      <c r="M128" s="22"/>
      <c r="N128" s="22"/>
      <c r="O128" s="22"/>
    </row>
    <row r="129" spans="1:15" ht="15" x14ac:dyDescent="0.2">
      <c r="A129" s="8"/>
      <c r="B129" s="21"/>
      <c r="C129" s="16"/>
      <c r="D129" s="31"/>
      <c r="E129" s="16"/>
      <c r="F129" s="16"/>
      <c r="G129" s="30"/>
      <c r="H129" s="29"/>
      <c r="I129" s="16"/>
      <c r="J129" s="28"/>
      <c r="K129" s="28"/>
      <c r="L129" s="28"/>
      <c r="M129" s="28"/>
      <c r="N129" s="28"/>
      <c r="O129" s="28"/>
    </row>
    <row r="130" spans="1:15" ht="15" x14ac:dyDescent="0.2">
      <c r="A130" s="8"/>
      <c r="B130" s="21"/>
      <c r="C130" s="27">
        <f>C144</f>
        <v>423</v>
      </c>
      <c r="D130" s="26">
        <f>(D$122*(($A$20+$C130)*0.01))-(($C$38*$E$38*$B$128+$G$40+$G$41+$G$39+$G$42+$G$43+$G$44+$G$45+$G$46+$G$47+$G$60)/$C$34)-((($C$38*$E$38*$B$128+$G$39)*$C$21/365)+(($G$40+$G$41+$G$42+$G$44)*(($C$21*0.67)/365))+(($G$43+$G$47)*($C$21*0.5)/365))*$F$48/$C$34</f>
        <v>-170.13752938240077</v>
      </c>
      <c r="E130" s="23">
        <f>(E$122*(($A$20+$C130)*0.01))-(($C$38*$E$38*$B$128+$G$40+$G$41+$G$39+$G$42+$G$43+$G$44+$G$45+$G$46+$G$47+$G$60)/$C$34)-((($C$38*$E$38*$B$128+$G$39)*$C$21/365)+(($G$40+$G$41+$G$42+$G$44)*(($C$21*0.67)/365))+(($G$43+$G$47)*($C$21*0.5)/365))*$F$48/$C$34</f>
        <v>-126.48752938240089</v>
      </c>
      <c r="F130" s="23">
        <f>(F$122*(($A$20+$C130)*0.01))-(($C$38*$E$38*$B$128+$G$40+$G$41+$G$39+$G$42+$G$43+$G$44+$G$45+$G$46+$G$47+$G$60)/$C$34)-((($C$38*$E$38*$B$128+$G$39)*$C$21/365)+(($G$40+$G$41+$G$42+$G$44)*(($C$21*0.67)/365))+(($G$43+$G$47)*($C$21*0.5)/365))*$F$48/$C$34</f>
        <v>-82.837529382400803</v>
      </c>
      <c r="G130" s="25">
        <f>(G$122*(($A$20+$C130)*0.01))-(($C$38*$E$38*$B$128+$G$40+$G$41+$G$39+$G$42+$G$43+$G$44+$G$45+$G$46+$G$47+$G$60)/$C$34)-((($C$38*$E$38*$B$128+$G$39)*$C$21/365)+(($G$40+$G$41+$G$42+$G$44)*(($C$21*0.67)/365))+(($G$43+$G$47)*($C$21*0.5)/365))*$F$48/$C$34</f>
        <v>-39.187529382400712</v>
      </c>
      <c r="H130" s="24">
        <f>(H$122*(($A$20+$C130)*0.01))-(($C$38*$E$38*$B$128+$G$40+$G$41+$G$39+$G$42+$G$43+$G$44+$G$45+$G$46+$G$47+$G$60)/$C$34)-((($C$38*$E$38*$B$128+$G$39)*$C$21/365)+(($G$40+$G$41+$G$42+$G$44)*(($C$21*0.67)/365))+(($G$43+$G$47)*($C$21*0.5)/365))*$F$48/$C$34</f>
        <v>4.462470617599152</v>
      </c>
      <c r="I130" s="23"/>
      <c r="J130" s="22"/>
      <c r="K130" s="22"/>
      <c r="L130" s="22"/>
      <c r="M130" s="22"/>
      <c r="N130" s="22"/>
      <c r="O130" s="22"/>
    </row>
    <row r="131" spans="1:15" ht="15" x14ac:dyDescent="0.2">
      <c r="A131" s="8"/>
      <c r="B131" s="21"/>
      <c r="C131" s="16"/>
      <c r="D131" s="31"/>
      <c r="E131" s="16"/>
      <c r="F131" s="16"/>
      <c r="G131" s="30"/>
      <c r="H131" s="29"/>
      <c r="I131" s="16"/>
      <c r="J131" s="28"/>
      <c r="K131" s="28"/>
      <c r="L131" s="28"/>
      <c r="M131" s="28"/>
      <c r="N131" s="28"/>
      <c r="O131" s="28"/>
    </row>
    <row r="132" spans="1:15" ht="15" x14ac:dyDescent="0.2">
      <c r="A132" s="8"/>
      <c r="B132" s="21"/>
      <c r="C132" s="16"/>
      <c r="D132" s="31"/>
      <c r="E132" s="16"/>
      <c r="F132" s="16"/>
      <c r="G132" s="30"/>
      <c r="H132" s="29"/>
      <c r="I132" s="16"/>
      <c r="J132" s="28"/>
      <c r="K132" s="28"/>
      <c r="L132" s="28"/>
      <c r="M132" s="28"/>
      <c r="N132" s="28"/>
      <c r="O132" s="28"/>
    </row>
    <row r="133" spans="1:15" ht="15" x14ac:dyDescent="0.2">
      <c r="A133" s="8"/>
      <c r="B133" s="21"/>
      <c r="C133" s="27">
        <f>C140</f>
        <v>323</v>
      </c>
      <c r="D133" s="26">
        <f>(D$122*(($A$20+$C133)*0.01))-(($C$38*$E$38*$B$135+$G$40+$G$41+$G$39+$G$42+$G$43+$G$44+$G$45+$G$46+$G$47+$G$60)/$C$34)-((($C$38*$E$38*$B$135+$G$39)*$C$21/365)+(($G$40+$G$41+$G$42+$G$44)*(($C$21*0.67)/365))+(($G$43+$G$47)*($C$21*0.5)/365))*$F$48/$C$34</f>
        <v>-312.53606664731848</v>
      </c>
      <c r="E133" s="23">
        <f>(E$122*(($A$20+$C133)*0.01))-(($C$38*$E$38*$B$135+$G$40+$G$41+$G$39+$G$42+$G$43+$G$44+$G$45+$G$46+$G$47+$G$60)/$C$34)-((($C$38*$E$38*$B$135+$G$39)*$C$21/365)+(($G$40+$G$41+$G$42+$G$44)*(($C$21*0.67)/365))+(($G$43+$G$47)*($C$21*0.5)/365))*$F$48/$C$34</f>
        <v>-273.88606664731839</v>
      </c>
      <c r="F133" s="23">
        <f>(F$122*(($A$20+$C133)*0.01))-(($C$38*$E$38*$B$135+$G$40+$G$41+$G$39+$G$42+$G$43+$G$44+$G$45+$G$46+$G$47+$G$60)/$C$34)-((($C$38*$E$38*$B$135+$G$39)*$C$21/365)+(($G$40+$G$41+$G$42+$G$44)*(($C$21*0.67)/365))+(($G$43+$G$47)*($C$21*0.5)/365))*$F$48/$C$34</f>
        <v>-235.23606664731838</v>
      </c>
      <c r="G133" s="25">
        <f>(G$122*(($A$20+$C133)*0.01))-(($C$38*$E$38*$B$135+$G$40+$G$41+$G$39+$G$42+$G$43+$G$44+$G$45+$G$46+$G$47+$G$60)/$C$34)-((($C$38*$E$38*$B$135+$G$39)*$C$21/365)+(($G$40+$G$41+$G$42+$G$44)*(($C$21*0.67)/365))+(($G$43+$G$47)*($C$21*0.5)/365))*$F$48/$C$34</f>
        <v>-196.58606664731829</v>
      </c>
      <c r="H133" s="24">
        <f>(H$122*(($A$20+$C133)*0.01))-(($C$38*$E$38*$B$135+$G$40+$G$41+$G$39+$G$42+$G$43+$G$44+$G$45+$G$46+$G$47+$G$60)/$C$34)-((($C$38*$E$38*$B$135+$G$39)*$C$21/365)+(($G$40+$G$41+$G$42+$G$44)*(($C$21*0.67)/365))+(($G$43+$G$47)*($C$21*0.5)/365))*$F$48/$C$34</f>
        <v>-157.93606664731843</v>
      </c>
      <c r="I133" s="23"/>
      <c r="J133" s="22"/>
      <c r="K133" s="22"/>
      <c r="L133" s="22"/>
      <c r="M133" s="22"/>
      <c r="N133" s="22"/>
      <c r="O133" s="22"/>
    </row>
    <row r="134" spans="1:15" ht="15" x14ac:dyDescent="0.2">
      <c r="A134" s="8"/>
      <c r="B134" s="21"/>
      <c r="C134" s="16"/>
      <c r="D134" s="31"/>
      <c r="E134" s="16"/>
      <c r="F134" s="16"/>
      <c r="G134" s="30"/>
      <c r="H134" s="29"/>
      <c r="I134" s="16"/>
      <c r="J134" s="28"/>
      <c r="K134" s="28"/>
      <c r="L134" s="28"/>
      <c r="M134" s="28"/>
      <c r="N134" s="28"/>
      <c r="O134" s="28"/>
    </row>
    <row r="135" spans="1:15" ht="15" x14ac:dyDescent="0.2">
      <c r="A135" s="8"/>
      <c r="B135" s="32">
        <f>B142-5</f>
        <v>156</v>
      </c>
      <c r="C135" s="27">
        <f>C142</f>
        <v>373</v>
      </c>
      <c r="D135" s="26">
        <f>(D$122*(($A$20+$C135)*0.01))-(($C$38*$E$38*$B$135+$G$40+$G$41+$G$39+$G$42+$G$43+$G$44+$G$45+$G$46+$G$47+$G$60)/$C$34)-((($C$38*$E$38*$B$135+$G$39)*$C$21/365)+(($G$40+$G$41+$G$42+$G$44)*(($C$21*0.67)/365))+(($G$43+$G$47)*($C$21*0.5)/365))*$F$48/$C$34</f>
        <v>-253.03606664731845</v>
      </c>
      <c r="E135" s="23">
        <f>(E$122*(($A$20+$C135)*0.01))-(($C$38*$E$38*$B$135+$G$40+$G$41+$G$39+$G$42+$G$43+$G$44+$G$45+$G$46+$G$47+$G$60)/$C$34)-((($C$38*$E$38*$B$135+$G$39)*$C$21/365)+(($G$40+$G$41+$G$42+$G$44)*(($C$21*0.67)/365))+(($G$43+$G$47)*($C$21*0.5)/365))*$F$48/$C$34</f>
        <v>-211.88606664731836</v>
      </c>
      <c r="F135" s="23">
        <f>(F$122*(($A$20+$C135)*0.01))-(($C$38*$E$38*$B$135+$G$40+$G$41+$G$39+$G$42+$G$43+$G$44+$G$45+$G$46+$G$47+$G$60)/$C$34)-((($C$38*$E$38*$B$135+$G$39)*$C$21/365)+(($G$40+$G$41+$G$42+$G$44)*(($C$21*0.67)/365))+(($G$43+$G$47)*($C$21*0.5)/365))*$F$48/$C$34</f>
        <v>-170.73606664731838</v>
      </c>
      <c r="G135" s="25">
        <f>(G$122*(($A$20+$C135)*0.01))-(($C$38*$E$38*$B$135+$G$40+$G$41+$G$39+$G$42+$G$43+$G$44+$G$45+$G$46+$G$47+$G$60)/$C$34)-((($C$38*$E$38*$B$135+$G$39)*$C$21/365)+(($G$40+$G$41+$G$42+$G$44)*(($C$21*0.67)/365))+(($G$43+$G$47)*($C$21*0.5)/365))*$F$48/$C$34</f>
        <v>-129.58606664731829</v>
      </c>
      <c r="H135" s="24">
        <f>(H$122*(($A$20+$C135)*0.01))-(($C$38*$E$38*$B$135+$G$40+$G$41+$G$39+$G$42+$G$43+$G$44+$G$45+$G$46+$G$47+$G$60)/$C$34)-((($C$38*$E$38*$B$135+$G$39)*$C$21/365)+(($G$40+$G$41+$G$42+$G$44)*(($C$21*0.67)/365))+(($G$43+$G$47)*($C$21*0.5)/365))*$F$48/$C$34</f>
        <v>-88.436066647318441</v>
      </c>
      <c r="I135" s="23"/>
      <c r="J135" s="22"/>
      <c r="K135" s="22"/>
      <c r="L135" s="22"/>
      <c r="M135" s="22"/>
      <c r="N135" s="22"/>
      <c r="O135" s="22"/>
    </row>
    <row r="136" spans="1:15" ht="15" x14ac:dyDescent="0.2">
      <c r="A136" s="8"/>
      <c r="B136" s="21"/>
      <c r="C136" s="16"/>
      <c r="D136" s="31"/>
      <c r="E136" s="16"/>
      <c r="F136" s="16"/>
      <c r="G136" s="30"/>
      <c r="H136" s="29"/>
      <c r="I136" s="16"/>
      <c r="J136" s="28"/>
      <c r="K136" s="28"/>
      <c r="L136" s="28"/>
      <c r="M136" s="28"/>
      <c r="N136" s="28"/>
      <c r="O136" s="28"/>
    </row>
    <row r="137" spans="1:15" ht="15" x14ac:dyDescent="0.2">
      <c r="A137" s="8"/>
      <c r="B137" s="21"/>
      <c r="C137" s="27">
        <f>C144</f>
        <v>423</v>
      </c>
      <c r="D137" s="26">
        <f>(D$122*(($A$20+$C137)*0.01))-(($C$38*$E$38*$B$135+$G$40+$G$41+$G$39+$G$42+$G$43+$G$44+$G$45+$G$46+$G$47+$G$60)/$C$34)-((($C$38*$E$38*$B$135+$G$39)*$C$21/365)+(($G$40+$G$41+$G$42+$G$44)*(($C$21*0.67)/365))+(($G$43+$G$47)*($C$21*0.5)/365))*$F$48/$C$34</f>
        <v>-193.53606664731834</v>
      </c>
      <c r="E137" s="23">
        <f>(E$122*(($A$20+$C137)*0.01))-(($C$38*$E$38*$B$135+$G$40+$G$41+$G$39+$G$42+$G$43+$G$44+$G$45+$G$46+$G$47+$G$60)/$C$34)-((($C$38*$E$38*$B$135+$G$39)*$C$21/365)+(($G$40+$G$41+$G$42+$G$44)*(($C$21*0.67)/365))+(($G$43+$G$47)*($C$21*0.5)/365))*$F$48/$C$34</f>
        <v>-149.88606664731847</v>
      </c>
      <c r="F137" s="23">
        <f>(F$122*(($A$20+$C137)*0.01))-(($C$38*$E$38*$B$135+$G$40+$G$41+$G$39+$G$42+$G$43+$G$44+$G$45+$G$46+$G$47+$G$60)/$C$34)-((($C$38*$E$38*$B$135+$G$39)*$C$21/365)+(($G$40+$G$41+$G$42+$G$44)*(($C$21*0.67)/365))+(($G$43+$G$47)*($C$21*0.5)/365))*$F$48/$C$34</f>
        <v>-106.2360666473184</v>
      </c>
      <c r="G137" s="25">
        <f>(G$122*(($A$20+$C137)*0.01))-(($C$38*$E$38*$B$135+$G$40+$G$41+$G$39+$G$42+$G$43+$G$44+$G$45+$G$46+$G$47+$G$60)/$C$34)-((($C$38*$E$38*$B$135+$G$39)*$C$21/365)+(($G$40+$G$41+$G$42+$G$44)*(($C$21*0.67)/365))+(($G$43+$G$47)*($C$21*0.5)/365))*$F$48/$C$34</f>
        <v>-62.586066647318304</v>
      </c>
      <c r="H137" s="24">
        <f>(H$122*(($A$20+$C137)*0.01))-(($C$38*$E$38*$B$135+$G$40+$G$41+$G$39+$G$42+$G$43+$G$44+$G$45+$G$46+$G$47+$G$60)/$C$34)-((($C$38*$E$38*$B$135+$G$39)*$C$21/365)+(($G$40+$G$41+$G$42+$G$44)*(($C$21*0.67)/365))+(($G$43+$G$47)*($C$21*0.5)/365))*$F$48/$C$34</f>
        <v>-18.936066647318437</v>
      </c>
      <c r="I137" s="23"/>
      <c r="J137" s="22"/>
      <c r="K137" s="22"/>
      <c r="L137" s="22"/>
      <c r="M137" s="22"/>
      <c r="N137" s="22"/>
      <c r="O137" s="22"/>
    </row>
    <row r="138" spans="1:15" ht="15" x14ac:dyDescent="0.2">
      <c r="A138" s="8"/>
      <c r="B138" s="21"/>
      <c r="C138" s="16"/>
      <c r="D138" s="31"/>
      <c r="E138" s="16"/>
      <c r="F138" s="16"/>
      <c r="G138" s="30"/>
      <c r="H138" s="29"/>
      <c r="I138" s="16"/>
      <c r="J138" s="28"/>
      <c r="K138" s="28"/>
      <c r="L138" s="28"/>
      <c r="M138" s="28"/>
      <c r="N138" s="28"/>
      <c r="O138" s="28"/>
    </row>
    <row r="139" spans="1:15" ht="15" x14ac:dyDescent="0.2">
      <c r="A139" s="8"/>
      <c r="B139" s="21"/>
      <c r="C139" s="16"/>
      <c r="D139" s="31"/>
      <c r="E139" s="16"/>
      <c r="F139" s="16"/>
      <c r="G139" s="30"/>
      <c r="H139" s="29"/>
      <c r="I139" s="16"/>
      <c r="J139" s="28"/>
      <c r="K139" s="28"/>
      <c r="L139" s="28"/>
      <c r="M139" s="28"/>
      <c r="N139" s="28"/>
      <c r="O139" s="28"/>
    </row>
    <row r="140" spans="1:15" ht="15" x14ac:dyDescent="0.2">
      <c r="A140" s="8"/>
      <c r="B140" s="21"/>
      <c r="C140" s="27">
        <f>+C142-50</f>
        <v>323</v>
      </c>
      <c r="D140" s="26">
        <f>(D$122*(($A$20+$C140)*0.01))-(($C$38*$E$38*$B$142+$G$40+$G$41+$G$39+$G$42+$G$43+$G$44+$G$45+$G$46+$G$47+$G$60)/$C$34)-((($C$38*$E$38*$B$142+$G$39)*$C$21/365)+(($G$40+$G$41+$G$42+$G$44)*(($C$21*0.67)/365))+(($G$43+$G$47)*($C$21*0.5)/365))*$F$48/$C$34</f>
        <v>-335.93460391223607</v>
      </c>
      <c r="E140" s="23">
        <f>(E$122*(($A$20+$C140)*0.01))-(($C$38*$E$38*$B$142+$G$40+$G$41+$G$39+$G$42+$G$43+$G$44+$G$45+$G$46+$G$47+$G$60)/$C$34)-((($C$38*$E$38*$B$142+$G$39)*$C$21/365)+(($G$40+$G$41+$G$42+$G$44)*(($C$21*0.67)/365))+(($G$43+$G$47)*($C$21*0.5)/365))*$F$48/$C$34</f>
        <v>-297.28460391223598</v>
      </c>
      <c r="F140" s="23">
        <f>(F$122*(($A$20+$C140)*0.01))-(($C$38*$E$38*$B$142+$G$40+$G$41+$G$39+$G$42+$G$43+$G$44+$G$45+$G$46+$G$47+$G$60)/$C$34)-((($C$38*$E$38*$B$142+$G$39)*$C$21/365)+(($G$40+$G$41+$G$42+$G$44)*(($C$21*0.67)/365))+(($G$43+$G$47)*($C$21*0.5)/365))*$F$48/$C$34</f>
        <v>-258.634603912236</v>
      </c>
      <c r="G140" s="25">
        <f>(G$122*(($A$20+$C140)*0.01))-(($C$38*$E$38*$B$142+$G$40+$G$41+$G$39+$G$42+$G$43+$G$44+$G$45+$G$46+$G$47+$G$60)/$C$34)-((($C$38*$E$38*$B$142+$G$39)*$C$21/365)+(($G$40+$G$41+$G$42+$G$44)*(($C$21*0.67)/365))+(($G$43+$G$47)*($C$21*0.5)/365))*$F$48/$C$34</f>
        <v>-219.98460391223591</v>
      </c>
      <c r="H140" s="24">
        <f>(H$122*(($A$20+$C140)*0.01))-(($C$38*$E$38*$B$142+$G$40+$G$41+$G$39+$G$42+$G$43+$G$44+$G$45+$G$46+$G$47+$G$60)/$C$34)-((($C$38*$E$38*$B$142+$G$39)*$C$21/365)+(($G$40+$G$41+$G$42+$G$44)*(($C$21*0.67)/365))+(($G$43+$G$47)*($C$21*0.5)/365))*$F$48/$C$34</f>
        <v>-181.33460391223605</v>
      </c>
      <c r="I140" s="23"/>
      <c r="J140" s="22"/>
      <c r="K140" s="22"/>
      <c r="L140" s="22"/>
      <c r="M140" s="22"/>
      <c r="N140" s="22"/>
      <c r="O140" s="22"/>
    </row>
    <row r="141" spans="1:15" ht="15.75" thickBot="1" x14ac:dyDescent="0.25">
      <c r="A141" s="8"/>
      <c r="B141" s="21"/>
      <c r="C141" s="16"/>
      <c r="D141" s="31"/>
      <c r="E141" s="16"/>
      <c r="F141" s="16"/>
      <c r="G141" s="30"/>
      <c r="H141" s="29"/>
      <c r="I141" s="16"/>
      <c r="J141" s="28"/>
      <c r="K141" s="28"/>
      <c r="L141" s="28"/>
      <c r="M141" s="28"/>
      <c r="N141" s="28"/>
      <c r="O141" s="28"/>
    </row>
    <row r="142" spans="1:15" ht="15.75" thickBot="1" x14ac:dyDescent="0.25">
      <c r="A142" s="8"/>
      <c r="B142" s="32">
        <f>F38</f>
        <v>161</v>
      </c>
      <c r="C142" s="27">
        <f>C24-A20</f>
        <v>373</v>
      </c>
      <c r="D142" s="26">
        <f>(D$122*(($A$20+$C142)*0.01))-(($C$38*$E$38*$B$142+$G$40+$G$41+$G$39+$G$42+$G$43+$G$44+$G$45+$G$46+$G$47+$G$60)/$C$34)-((($C$38*$E$38*$B$142+$G$39)*$C$21/365)+(($G$40+$G$41+$G$42+$G$44)*(($C$21*0.67)/365))+(($G$43+$G$47)*($C$21*0.5)/365))*$F$48/$C$34</f>
        <v>-276.43460391223607</v>
      </c>
      <c r="E142" s="23">
        <f>(E$122*(($A$20+$C142)*0.01))-(($C$38*$E$38*$B$142+$G$40+$G$41+$G$39+$G$42+$G$43+$G$44+$G$45+$G$46+$G$47+$G$60)/$C$34)-((($C$38*$E$38*$B$142+$G$39)*$C$21/365)+(($G$40+$G$41+$G$42+$G$44)*(($C$21*0.67)/365))+(($G$43+$G$47)*($C$21*0.5)/365))*$F$48/$C$34</f>
        <v>-235.28460391223598</v>
      </c>
      <c r="F142" s="33">
        <f>(F$122*(($A$20+$C142)*0.01))-(($C$38*$E$38*$B$142+$G$40+$G$41+$G$39+$G$42+$G$43+$G$44+$G$45+$G$46+$G$47+$G$60)/$C$34)-((($C$38*$E$38*$B$142+$G$39)*$C$21/365)+(($G$40+$G$41+$G$42+$G$44)*(($C$21*0.67)/365))+(($G$43+$G$47)*($C$21*0.5)/365))*$F$48/$C$34</f>
        <v>-194.134603912236</v>
      </c>
      <c r="G142" s="25">
        <f>(G$122*(($A$20+$C142)*0.01))-(($C$38*$E$38*$B$142+$G$40+$G$41+$G$39+$G$42+$G$43+$G$44+$G$45+$G$46+$G$47+$G$60)/$C$34)-((($C$38*$E$38*$B$142+$G$39)*$C$21/365)+(($G$40+$G$41+$G$42+$G$44)*(($C$21*0.67)/365))+(($G$43+$G$47)*($C$21*0.5)/365))*$F$48/$C$34</f>
        <v>-152.98460391223591</v>
      </c>
      <c r="H142" s="24">
        <f>(H$122*(($A$20+$C142)*0.01))-(($C$38*$E$38*$B$142+$G$40+$G$41+$G$39+$G$42+$G$43+$G$44+$G$45+$G$46+$G$47+$G$60)/$C$34)-((($C$38*$E$38*$B$142+$G$39)*$C$21/365)+(($G$40+$G$41+$G$42+$G$44)*(($C$21*0.67)/365))+(($G$43+$G$47)*($C$21*0.5)/365))*$F$48/$C$34</f>
        <v>-111.83460391223603</v>
      </c>
      <c r="I142" s="23"/>
      <c r="J142" s="22"/>
      <c r="K142" s="22"/>
      <c r="L142" s="22"/>
      <c r="M142" s="22"/>
      <c r="N142" s="22"/>
      <c r="O142" s="22"/>
    </row>
    <row r="143" spans="1:15" ht="15" x14ac:dyDescent="0.2">
      <c r="A143" s="8"/>
      <c r="B143" s="21"/>
      <c r="C143" s="16"/>
      <c r="D143" s="31"/>
      <c r="E143" s="16"/>
      <c r="F143" s="16"/>
      <c r="G143" s="30"/>
      <c r="H143" s="29"/>
      <c r="I143" s="16"/>
      <c r="J143" s="28"/>
      <c r="K143" s="28"/>
      <c r="L143" s="28"/>
      <c r="M143" s="28"/>
      <c r="N143" s="28"/>
      <c r="O143" s="28"/>
    </row>
    <row r="144" spans="1:15" ht="15" x14ac:dyDescent="0.2">
      <c r="A144" s="8"/>
      <c r="B144" s="21"/>
      <c r="C144" s="27">
        <f>C142+50</f>
        <v>423</v>
      </c>
      <c r="D144" s="26">
        <f>(D$122*(($A$20+$C144)*0.01))-(($C$38*$E$38*$B$142+$G$40+$G$41+$G$39+$G$42+$G$43+$G$44+$G$45+$G$46+$G$47+$G$60)/$C$34)-((($C$38*$E$38*$B$142+$G$39)*$C$21/365)+(($G$40+$G$41+$G$42+$G$44)*(($C$21*0.67)/365))+(($G$43+$G$47)*($C$21*0.5)/365))*$F$48/$C$34</f>
        <v>-216.93460391223596</v>
      </c>
      <c r="E144" s="23">
        <f>(E$122*(($A$20+$C144)*0.01))-(($C$38*$E$38*$B$142+$G$40+$G$41+$G$39+$G$42+$G$43+$G$44+$G$45+$G$46+$G$47+$G$60)/$C$34)-((($C$38*$E$38*$B$142+$G$39)*$C$21/365)+(($G$40+$G$41+$G$42+$G$44)*(($C$21*0.67)/365))+(($G$43+$G$47)*($C$21*0.5)/365))*$F$48/$C$34</f>
        <v>-173.28460391223609</v>
      </c>
      <c r="F144" s="23">
        <f>(F$122*(($A$20+$C144)*0.01))-(($C$38*$E$38*$B$142+$G$40+$G$41+$G$39+$G$42+$G$43+$G$44+$G$45+$G$46+$G$47+$G$60)/$C$34)-((($C$38*$E$38*$B$142+$G$39)*$C$21/365)+(($G$40+$G$41+$G$42+$G$44)*(($C$21*0.67)/365))+(($G$43+$G$47)*($C$21*0.5)/365))*$F$48/$C$34</f>
        <v>-129.634603912236</v>
      </c>
      <c r="G144" s="25">
        <f>(G$122*(($A$20+$C144)*0.01))-(($C$38*$E$38*$B$142+$G$40+$G$41+$G$39+$G$42+$G$43+$G$44+$G$45+$G$46+$G$47+$G$60)/$C$34)-((($C$38*$E$38*$B$142+$G$39)*$C$21/365)+(($G$40+$G$41+$G$42+$G$44)*(($C$21*0.67)/365))+(($G$43+$G$47)*($C$21*0.5)/365))*$F$48/$C$34</f>
        <v>-85.984603912235897</v>
      </c>
      <c r="H144" s="24">
        <f>(H$122*(($A$20+$C144)*0.01))-(($C$38*$E$38*$B$142+$G$40+$G$41+$G$39+$G$42+$G$43+$G$44+$G$45+$G$46+$G$47+$G$60)/$C$34)-((($C$38*$E$38*$B$142+$G$39)*$C$21/365)+(($G$40+$G$41+$G$42+$G$44)*(($C$21*0.67)/365))+(($G$43+$G$47)*($C$21*0.5)/365))*$F$48/$C$34</f>
        <v>-42.334603912236034</v>
      </c>
      <c r="I144" s="23"/>
      <c r="J144" s="22"/>
      <c r="K144" s="22"/>
      <c r="L144" s="22"/>
      <c r="M144" s="22"/>
      <c r="N144" s="22"/>
      <c r="O144" s="22"/>
    </row>
    <row r="145" spans="1:15" ht="15" x14ac:dyDescent="0.2">
      <c r="A145" s="8"/>
      <c r="B145" s="21"/>
      <c r="C145" s="16"/>
      <c r="D145" s="31"/>
      <c r="E145" s="16"/>
      <c r="F145" s="16"/>
      <c r="G145" s="30"/>
      <c r="H145" s="29"/>
      <c r="I145" s="16"/>
      <c r="J145" s="28"/>
      <c r="K145" s="28"/>
      <c r="L145" s="28"/>
      <c r="M145" s="28"/>
      <c r="N145" s="28"/>
      <c r="O145" s="28"/>
    </row>
    <row r="146" spans="1:15" ht="15" x14ac:dyDescent="0.2">
      <c r="A146" s="8"/>
      <c r="B146" s="21"/>
      <c r="C146" s="16"/>
      <c r="D146" s="31"/>
      <c r="E146" s="16"/>
      <c r="F146" s="16"/>
      <c r="G146" s="30"/>
      <c r="H146" s="29"/>
      <c r="I146" s="16"/>
      <c r="J146" s="28"/>
      <c r="K146" s="28"/>
      <c r="L146" s="28"/>
      <c r="M146" s="28"/>
      <c r="N146" s="28"/>
      <c r="O146" s="28"/>
    </row>
    <row r="147" spans="1:15" ht="15" x14ac:dyDescent="0.2">
      <c r="A147" s="8"/>
      <c r="B147" s="21"/>
      <c r="C147" s="27">
        <f>C140</f>
        <v>323</v>
      </c>
      <c r="D147" s="26">
        <f>(D$122*(($A$20+$C147)*0.01))-(($C$38*$E$38*$B$149+$G$40+$G$41+$G$39+$G$42+$G$43+$G$44+$G$45+$G$46+$G$47+$G$60)/$C$34)-((($C$38*$E$38*$B$149+$G$39)*$C$21/365)+(($G$40+$G$41+$G$42+$G$44)*(($C$21*0.67)/365))+(($G$43+$G$47)*($C$21*0.5)/365))*$F$48/$C$34</f>
        <v>-359.33314117715366</v>
      </c>
      <c r="E147" s="23">
        <f>(E$122*(($A$20+$C147)*0.01))-(($C$38*$E$38*$B$149+$G$40+$G$41+$G$39+$G$42+$G$43+$G$44+$G$45+$G$46+$G$47+$G$60)/$C$34)-((($C$38*$E$38*$B$149+$G$39)*$C$21/365)+(($G$40+$G$41+$G$42+$G$44)*(($C$21*0.67)/365))+(($G$43+$G$47)*($C$21*0.5)/365))*$F$48/$C$34</f>
        <v>-320.68314117715357</v>
      </c>
      <c r="F147" s="23">
        <f>(F$122*(($A$20+$C147)*0.01))-(($C$38*$E$38*$B$149+$G$40+$G$41+$G$39+$G$42+$G$43+$G$44+$G$45+$G$46+$G$47+$G$60)/$C$34)-((($C$38*$E$38*$B$149+$G$39)*$C$21/365)+(($G$40+$G$41+$G$42+$G$44)*(($C$21*0.67)/365))+(($G$43+$G$47)*($C$21*0.5)/365))*$F$48/$C$34</f>
        <v>-282.0331411771536</v>
      </c>
      <c r="G147" s="25">
        <f>(G$122*(($A$20+$C147)*0.01))-(($C$38*$E$38*$B$149+$G$40+$G$41+$G$39+$G$42+$G$43+$G$44+$G$45+$G$46+$G$47+$G$60)/$C$34)-((($C$38*$E$38*$B$149+$G$39)*$C$21/365)+(($G$40+$G$41+$G$42+$G$44)*(($C$21*0.67)/365))+(($G$43+$G$47)*($C$21*0.5)/365))*$F$48/$C$34</f>
        <v>-243.38314117715348</v>
      </c>
      <c r="H147" s="24">
        <f>(H$122*(($A$20+$C147)*0.01))-(($C$38*$E$38*$B$149+$G$40+$G$41+$G$39+$G$42+$G$43+$G$44+$G$45+$G$46+$G$47+$G$60)/$C$34)-((($C$38*$E$38*$B$149+$G$39)*$C$21/365)+(($G$40+$G$41+$G$42+$G$44)*(($C$21*0.67)/365))+(($G$43+$G$47)*($C$21*0.5)/365))*$F$48/$C$34</f>
        <v>-204.73314117715361</v>
      </c>
      <c r="I147" s="23"/>
      <c r="J147" s="22"/>
      <c r="K147" s="22"/>
      <c r="L147" s="22"/>
      <c r="M147" s="22"/>
      <c r="N147" s="22"/>
      <c r="O147" s="22"/>
    </row>
    <row r="148" spans="1:15" ht="15" x14ac:dyDescent="0.2">
      <c r="A148" s="8"/>
      <c r="B148" s="21"/>
      <c r="C148" s="16"/>
      <c r="D148" s="31"/>
      <c r="E148" s="16"/>
      <c r="F148" s="16"/>
      <c r="G148" s="30"/>
      <c r="H148" s="29"/>
      <c r="I148" s="16"/>
      <c r="J148" s="28"/>
      <c r="K148" s="28"/>
      <c r="L148" s="28"/>
      <c r="M148" s="28"/>
      <c r="N148" s="28"/>
      <c r="O148" s="28"/>
    </row>
    <row r="149" spans="1:15" ht="15" x14ac:dyDescent="0.2">
      <c r="A149" s="8"/>
      <c r="B149" s="32">
        <f>B142+5</f>
        <v>166</v>
      </c>
      <c r="C149" s="27">
        <f>C142</f>
        <v>373</v>
      </c>
      <c r="D149" s="26">
        <f>(D$122*(($A$20+$C149)*0.01))-(($C$38*$E$38*$B$149+$G$40+$G$41+$G$39+$G$42+$G$43+$G$44+$G$45+$G$46+$G$47+$G$60)/$C$34)-((($C$38*$E$38*$B$149+$G$39)*$C$21/365)+(($G$40+$G$41+$G$42+$G$44)*(($C$21*0.67)/365))+(($G$43+$G$47)*($C$21*0.5)/365))*$F$48/$C$34</f>
        <v>-299.83314117715366</v>
      </c>
      <c r="E149" s="23">
        <f>(E$122*(($A$20+$C149)*0.01))-(($C$38*$E$38*$B$149+$G$40+$G$41+$G$39+$G$42+$G$43+$G$44+$G$45+$G$46+$G$47+$G$60)/$C$34)-((($C$38*$E$38*$B$149+$G$39)*$C$21/365)+(($G$40+$G$41+$G$42+$G$44)*(($C$21*0.67)/365))+(($G$43+$G$47)*($C$21*0.5)/365))*$F$48/$C$34</f>
        <v>-258.68314117715357</v>
      </c>
      <c r="F149" s="23">
        <f>(F$122*(($A$20+$C149)*0.01))-(($C$38*$E$38*$B$149+$G$40+$G$41+$G$39+$G$42+$G$43+$G$44+$G$45+$G$46+$G$47+$G$60)/$C$34)-((($C$38*$E$38*$B$149+$G$39)*$C$21/365)+(($G$40+$G$41+$G$42+$G$44)*(($C$21*0.67)/365))+(($G$43+$G$47)*($C$21*0.5)/365))*$F$48/$C$34</f>
        <v>-217.53314117715357</v>
      </c>
      <c r="G149" s="25">
        <f>(G$122*(($A$20+$C149)*0.01))-(($C$38*$E$38*$B$149+$G$40+$G$41+$G$39+$G$42+$G$43+$G$44+$G$45+$G$46+$G$47+$G$60)/$C$34)-((($C$38*$E$38*$B$149+$G$39)*$C$21/365)+(($G$40+$G$41+$G$42+$G$44)*(($C$21*0.67)/365))+(($G$43+$G$47)*($C$21*0.5)/365))*$F$48/$C$34</f>
        <v>-176.38314117715348</v>
      </c>
      <c r="H149" s="24">
        <f>(H$122*(($A$20+$C149)*0.01))-(($C$38*$E$38*$B$149+$G$40+$G$41+$G$39+$G$42+$G$43+$G$44+$G$45+$G$46+$G$47+$G$60)/$C$34)-((($C$38*$E$38*$B$149+$G$39)*$C$21/365)+(($G$40+$G$41+$G$42+$G$44)*(($C$21*0.67)/365))+(($G$43+$G$47)*($C$21*0.5)/365))*$F$48/$C$34</f>
        <v>-135.23314117715361</v>
      </c>
      <c r="I149" s="23"/>
      <c r="J149" s="22"/>
      <c r="K149" s="22"/>
      <c r="L149" s="22"/>
      <c r="M149" s="22"/>
      <c r="N149" s="22"/>
      <c r="O149" s="22"/>
    </row>
    <row r="150" spans="1:15" ht="15" x14ac:dyDescent="0.2">
      <c r="A150" s="8"/>
      <c r="B150" s="21"/>
      <c r="C150" s="16"/>
      <c r="D150" s="31"/>
      <c r="E150" s="16"/>
      <c r="F150" s="16"/>
      <c r="G150" s="30"/>
      <c r="H150" s="29"/>
      <c r="I150" s="16"/>
      <c r="J150" s="28"/>
      <c r="K150" s="28"/>
      <c r="L150" s="28"/>
      <c r="M150" s="28"/>
      <c r="N150" s="28"/>
      <c r="O150" s="28"/>
    </row>
    <row r="151" spans="1:15" ht="15" x14ac:dyDescent="0.2">
      <c r="A151" s="8"/>
      <c r="B151" s="21"/>
      <c r="C151" s="27">
        <f>C144</f>
        <v>423</v>
      </c>
      <c r="D151" s="26">
        <f>(D$122*(($A$20+$C151)*0.01))-(($C$38*$E$38*$B$149+$G$40+$G$41+$G$39+$G$42+$G$43+$G$44+$G$45+$G$46+$G$47+$G$60)/$C$34)-((($C$38*$E$38*$B$149+$G$39)*$C$21/365)+(($G$40+$G$41+$G$42+$G$44)*(($C$21*0.67)/365))+(($G$43+$G$47)*($C$21*0.5)/365))*$F$48/$C$34</f>
        <v>-240.33314117715352</v>
      </c>
      <c r="E151" s="23">
        <f>(E$122*(($A$20+$C151)*0.01))-(($C$38*$E$38*$B$149+$G$40+$G$41+$G$39+$G$42+$G$43+$G$44+$G$45+$G$46+$G$47+$G$60)/$C$34)-((($C$38*$E$38*$B$149+$G$39)*$C$21/365)+(($G$40+$G$41+$G$42+$G$44)*(($C$21*0.67)/365))+(($G$43+$G$47)*($C$21*0.5)/365))*$F$48/$C$34</f>
        <v>-196.68314117715366</v>
      </c>
      <c r="F151" s="23">
        <f>(F$122*(($A$20+$C151)*0.01))-(($C$38*$E$38*$B$149+$G$40+$G$41+$G$39+$G$42+$G$43+$G$44+$G$45+$G$46+$G$47+$G$60)/$C$34)-((($C$38*$E$38*$B$149+$G$39)*$C$21/365)+(($G$40+$G$41+$G$42+$G$44)*(($C$21*0.67)/365))+(($G$43+$G$47)*($C$21*0.5)/365))*$F$48/$C$34</f>
        <v>-153.03314117715357</v>
      </c>
      <c r="G151" s="25">
        <f>(G$122*(($A$20+$C151)*0.01))-(($C$38*$E$38*$B$149+$G$40+$G$41+$G$39+$G$42+$G$43+$G$44+$G$45+$G$46+$G$47+$G$60)/$C$34)-((($C$38*$E$38*$B$149+$G$39)*$C$21/365)+(($G$40+$G$41+$G$42+$G$44)*(($C$21*0.67)/365))+(($G$43+$G$47)*($C$21*0.5)/365))*$F$48/$C$34</f>
        <v>-109.38314117715349</v>
      </c>
      <c r="H151" s="24">
        <f>(H$122*(($A$20+$C151)*0.01))-(($C$38*$E$38*$B$149+$G$40+$G$41+$G$39+$G$42+$G$43+$G$44+$G$45+$G$46+$G$47+$G$60)/$C$34)-((($C$38*$E$38*$B$149+$G$39)*$C$21/365)+(($G$40+$G$41+$G$42+$G$44)*(($C$21*0.67)/365))+(($G$43+$G$47)*($C$21*0.5)/365))*$F$48/$C$34</f>
        <v>-65.733141177153627</v>
      </c>
      <c r="I151" s="23"/>
      <c r="J151" s="22"/>
      <c r="K151" s="22"/>
      <c r="L151" s="22"/>
      <c r="M151" s="22"/>
      <c r="N151" s="22"/>
      <c r="O151" s="22"/>
    </row>
    <row r="152" spans="1:15" ht="15" x14ac:dyDescent="0.2">
      <c r="A152" s="8"/>
      <c r="B152" s="21"/>
      <c r="C152" s="16"/>
      <c r="D152" s="31"/>
      <c r="E152" s="16"/>
      <c r="F152" s="16"/>
      <c r="G152" s="30"/>
      <c r="H152" s="29"/>
      <c r="I152" s="16"/>
      <c r="J152" s="28"/>
      <c r="K152" s="28"/>
      <c r="L152" s="28"/>
      <c r="M152" s="28"/>
      <c r="N152" s="28"/>
      <c r="O152" s="28"/>
    </row>
    <row r="153" spans="1:15" ht="15" x14ac:dyDescent="0.2">
      <c r="A153" s="8"/>
      <c r="B153" s="21"/>
      <c r="C153" s="16"/>
      <c r="D153" s="31"/>
      <c r="E153" s="16"/>
      <c r="F153" s="16"/>
      <c r="G153" s="30"/>
      <c r="H153" s="29"/>
      <c r="I153" s="16"/>
      <c r="J153" s="28"/>
      <c r="K153" s="28"/>
      <c r="L153" s="28"/>
      <c r="M153" s="28"/>
      <c r="N153" s="28"/>
      <c r="O153" s="28"/>
    </row>
    <row r="154" spans="1:15" ht="15" x14ac:dyDescent="0.2">
      <c r="A154" s="8"/>
      <c r="B154" s="21"/>
      <c r="C154" s="27">
        <f>C140</f>
        <v>323</v>
      </c>
      <c r="D154" s="26">
        <f>(D$122*(($A$20+$C154)*0.01))-(($C$38*$E$38*$B$156+$G$40+$G$41+$G$39+$G$42+$G$43+$G$44+$G$45+$G$46+$G$47+$G$60)/$C$34)-((($C$38*$E$38*$B$156+$G$39)*$C$21/365)+(($G$40+$G$41+$G$42+$G$44)*(($C$21*0.67)/365))+(($G$43+$G$47)*($C$21*0.5)/365))*$F$48/$C$34</f>
        <v>-382.73167844207126</v>
      </c>
      <c r="E154" s="23">
        <f>(E$122*(($A$20+$C154)*0.01))-(($C$38*$E$38*$B$156+$G$40+$G$41+$G$39+$G$42+$G$43+$G$44+$G$45+$G$46+$G$47+$G$60)/$C$34)-((($C$38*$E$38*$B$156+$G$39)*$C$21/365)+(($G$40+$G$41+$G$42+$G$44)*(($C$21*0.67)/365))+(($G$43+$G$47)*($C$21*0.5)/365))*$F$48/$C$34</f>
        <v>-344.08167844207117</v>
      </c>
      <c r="F154" s="23">
        <f>(F$122*(($A$20+$C154)*0.01))-(($C$38*$E$38*$B$156+$G$40+$G$41+$G$39+$G$42+$G$43+$G$44+$G$45+$G$46+$G$47+$G$60)/$C$34)-((($C$38*$E$38*$B$156+$G$39)*$C$21/365)+(($G$40+$G$41+$G$42+$G$44)*(($C$21*0.67)/365))+(($G$43+$G$47)*($C$21*0.5)/365))*$F$48/$C$34</f>
        <v>-305.43167844207119</v>
      </c>
      <c r="G154" s="25">
        <f>(G$122*(($A$20+$C154)*0.01))-(($C$38*$E$38*$B$156+$G$40+$G$41+$G$39+$G$42+$G$43+$G$44+$G$45+$G$46+$G$47+$G$60)/$C$34)-((($C$38*$E$38*$B$156+$G$39)*$C$21/365)+(($G$40+$G$41+$G$42+$G$44)*(($C$21*0.67)/365))+(($G$43+$G$47)*($C$21*0.5)/365))*$F$48/$C$34</f>
        <v>-266.7816784420711</v>
      </c>
      <c r="H154" s="24">
        <f>(H$122*(($A$20+$C154)*0.01))-(($C$38*$E$38*$B$156+$G$40+$G$41+$G$39+$G$42+$G$43+$G$44+$G$45+$G$46+$G$47+$G$60)/$C$34)-((($C$38*$E$38*$B$156+$G$39)*$C$21/365)+(($G$40+$G$41+$G$42+$G$44)*(($C$21*0.67)/365))+(($G$43+$G$47)*($C$21*0.5)/365))*$F$48/$C$34</f>
        <v>-228.13167844207121</v>
      </c>
      <c r="I154" s="23"/>
      <c r="J154" s="22"/>
      <c r="K154" s="22"/>
      <c r="L154" s="22"/>
      <c r="M154" s="22"/>
      <c r="N154" s="22"/>
      <c r="O154" s="22"/>
    </row>
    <row r="155" spans="1:15" ht="15" x14ac:dyDescent="0.2">
      <c r="A155" s="8"/>
      <c r="B155" s="21"/>
      <c r="C155" s="16"/>
      <c r="D155" s="31"/>
      <c r="E155" s="16"/>
      <c r="F155" s="16"/>
      <c r="G155" s="30"/>
      <c r="H155" s="29"/>
      <c r="I155" s="16"/>
      <c r="J155" s="28"/>
      <c r="K155" s="28"/>
      <c r="L155" s="28"/>
      <c r="M155" s="28"/>
      <c r="N155" s="28"/>
      <c r="O155" s="28"/>
    </row>
    <row r="156" spans="1:15" ht="15" x14ac:dyDescent="0.2">
      <c r="A156" s="8"/>
      <c r="B156" s="32">
        <f>B142+10</f>
        <v>171</v>
      </c>
      <c r="C156" s="27">
        <f>C142</f>
        <v>373</v>
      </c>
      <c r="D156" s="26">
        <f>(D$122*(($A$20+$C156)*0.01))-(($C$38*$E$38*$B$156+$G$40+$G$41+$G$39+$G$42+$G$43+$G$44+$G$45+$G$46+$G$47+$G$60)/$C$34)-((($C$38*$E$38*$B$156+$G$39)*$C$21/365)+(($G$40+$G$41+$G$42+$G$44)*(($C$21*0.67)/365))+(($G$43+$G$47)*($C$21*0.5)/365))*$F$48/$C$34</f>
        <v>-323.23167844207126</v>
      </c>
      <c r="E156" s="23">
        <f>(E$122*(($A$20+$C156)*0.01))-(($C$38*$E$38*$B$156+$G$40+$G$41+$G$39+$G$42+$G$43+$G$44+$G$45+$G$46+$G$47+$G$60)/$C$34)-((($C$38*$E$38*$B$156+$G$39)*$C$21/365)+(($G$40+$G$41+$G$42+$G$44)*(($C$21*0.67)/365))+(($G$43+$G$47)*($C$21*0.5)/365))*$F$48/$C$34</f>
        <v>-282.08167844207117</v>
      </c>
      <c r="F156" s="23">
        <f>(F$122*(($A$20+$C156)*0.01))-(($C$38*$E$38*$B$156+$G$40+$G$41+$G$39+$G$42+$G$43+$G$44+$G$45+$G$46+$G$47+$G$60)/$C$34)-((($C$38*$E$38*$B$156+$G$39)*$C$21/365)+(($G$40+$G$41+$G$42+$G$44)*(($C$21*0.67)/365))+(($G$43+$G$47)*($C$21*0.5)/365))*$F$48/$C$34</f>
        <v>-240.93167844207116</v>
      </c>
      <c r="G156" s="25">
        <f>(G$122*(($A$20+$C156)*0.01))-(($C$38*$E$38*$B$156+$G$40+$G$41+$G$39+$G$42+$G$43+$G$44+$G$45+$G$46+$G$47+$G$60)/$C$34)-((($C$38*$E$38*$B$156+$G$39)*$C$21/365)+(($G$40+$G$41+$G$42+$G$44)*(($C$21*0.67)/365))+(($G$43+$G$47)*($C$21*0.5)/365))*$F$48/$C$34</f>
        <v>-199.78167844207107</v>
      </c>
      <c r="H156" s="24">
        <f>(H$122*(($A$20+$C156)*0.01))-(($C$38*$E$38*$B$156+$G$40+$G$41+$G$39+$G$42+$G$43+$G$44+$G$45+$G$46+$G$47+$G$60)/$C$34)-((($C$38*$E$38*$B$156+$G$39)*$C$21/365)+(($G$40+$G$41+$G$42+$G$44)*(($C$21*0.67)/365))+(($G$43+$G$47)*($C$21*0.5)/365))*$F$48/$C$34</f>
        <v>-158.63167844207121</v>
      </c>
      <c r="I156" s="23"/>
      <c r="J156" s="22"/>
      <c r="K156" s="22"/>
      <c r="L156" s="22"/>
      <c r="M156" s="22"/>
      <c r="N156" s="22"/>
      <c r="O156" s="22"/>
    </row>
    <row r="157" spans="1:15" ht="15" x14ac:dyDescent="0.2">
      <c r="A157" s="8"/>
      <c r="B157" s="21"/>
      <c r="C157" s="16"/>
      <c r="D157" s="31"/>
      <c r="E157" s="16"/>
      <c r="F157" s="16"/>
      <c r="G157" s="30"/>
      <c r="H157" s="29"/>
      <c r="I157" s="16"/>
      <c r="J157" s="28"/>
      <c r="K157" s="28"/>
      <c r="L157" s="28"/>
      <c r="M157" s="28"/>
      <c r="N157" s="28"/>
      <c r="O157" s="28"/>
    </row>
    <row r="158" spans="1:15" ht="15" x14ac:dyDescent="0.2">
      <c r="A158" s="8"/>
      <c r="B158" s="21"/>
      <c r="C158" s="27">
        <f>C144</f>
        <v>423</v>
      </c>
      <c r="D158" s="26">
        <f>(D$122*(($A$20+$C158)*0.01))-(($C$38*$E$38*$B$156+$G$40+$G$41+$G$39+$G$42+$G$43+$G$44+$G$45+$G$46+$G$47+$G$60)/$C$34)-((($C$38*$E$38*$B$156+$G$39)*$C$21/365)+(($G$40+$G$41+$G$42+$G$44)*(($C$21*0.67)/365))+(($G$43+$G$47)*($C$21*0.5)/365))*$F$48/$C$34</f>
        <v>-263.73167844207114</v>
      </c>
      <c r="E158" s="23">
        <f>(E$122*(($A$20+$C158)*0.01))-(($C$38*$E$38*$B$156+$G$40+$G$41+$G$39+$G$42+$G$43+$G$44+$G$45+$G$46+$G$47+$G$60)/$C$34)-((($C$38*$E$38*$B$156+$G$39)*$C$21/365)+(($G$40+$G$41+$G$42+$G$44)*(($C$21*0.67)/365))+(($G$43+$G$47)*($C$21*0.5)/365))*$F$48/$C$34</f>
        <v>-220.08167844207125</v>
      </c>
      <c r="F158" s="23">
        <f>(F$122*(($A$20+$C158)*0.01))-(($C$38*$E$38*$B$156+$G$40+$G$41+$G$39+$G$42+$G$43+$G$44+$G$45+$G$46+$G$47+$G$60)/$C$34)-((($C$38*$E$38*$B$156+$G$39)*$C$21/365)+(($G$40+$G$41+$G$42+$G$44)*(($C$21*0.67)/365))+(($G$43+$G$47)*($C$21*0.5)/365))*$F$48/$C$34</f>
        <v>-176.43167844207116</v>
      </c>
      <c r="G158" s="25">
        <f>(G$122*(($A$20+$C158)*0.01))-(($C$38*$E$38*$B$156+$G$40+$G$41+$G$39+$G$42+$G$43+$G$44+$G$45+$G$46+$G$47+$G$60)/$C$34)-((($C$38*$E$38*$B$156+$G$39)*$C$21/365)+(($G$40+$G$41+$G$42+$G$44)*(($C$21*0.67)/365))+(($G$43+$G$47)*($C$21*0.5)/365))*$F$48/$C$34</f>
        <v>-132.78167844207107</v>
      </c>
      <c r="H158" s="24">
        <f>(H$122*(($A$20+$C158)*0.01))-(($C$38*$E$38*$B$156+$G$40+$G$41+$G$39+$G$42+$G$43+$G$44+$G$45+$G$46+$G$47+$G$60)/$C$34)-((($C$38*$E$38*$B$156+$G$39)*$C$21/365)+(($G$40+$G$41+$G$42+$G$44)*(($C$21*0.67)/365))+(($G$43+$G$47)*($C$21*0.5)/365))*$F$48/$C$34</f>
        <v>-89.13167844207122</v>
      </c>
      <c r="I158" s="23"/>
      <c r="J158" s="22"/>
      <c r="K158" s="22"/>
      <c r="L158" s="22"/>
      <c r="M158" s="22"/>
      <c r="N158" s="22"/>
      <c r="O158" s="22"/>
    </row>
    <row r="159" spans="1:15" ht="15" x14ac:dyDescent="0.2">
      <c r="A159" s="8"/>
      <c r="B159" s="21"/>
      <c r="C159" s="8"/>
      <c r="D159" s="20"/>
      <c r="E159" s="19"/>
      <c r="F159" s="19"/>
      <c r="G159" s="18"/>
      <c r="H159" s="17"/>
      <c r="I159" s="16"/>
      <c r="J159" s="5"/>
      <c r="K159" s="5"/>
      <c r="L159" s="5"/>
      <c r="M159" s="5"/>
      <c r="N159" s="5"/>
      <c r="O159" s="5"/>
    </row>
    <row r="160" spans="1:15" ht="15" x14ac:dyDescent="0.2">
      <c r="A160" s="8"/>
      <c r="B160" s="8"/>
      <c r="C160" s="8"/>
      <c r="D160" s="15" t="s">
        <v>4</v>
      </c>
      <c r="E160" s="14"/>
      <c r="F160" s="14"/>
      <c r="G160" s="9"/>
      <c r="H160" s="8"/>
      <c r="I160" s="8"/>
      <c r="J160" s="5"/>
      <c r="K160" s="5"/>
      <c r="L160" s="5"/>
      <c r="M160" s="5"/>
      <c r="N160" s="5"/>
      <c r="O160" s="5"/>
    </row>
    <row r="161" spans="1:15" ht="15" x14ac:dyDescent="0.2">
      <c r="A161" s="8"/>
      <c r="B161" s="8"/>
      <c r="C161" s="8"/>
      <c r="D161" s="8"/>
      <c r="E161" s="8"/>
      <c r="F161" s="8"/>
      <c r="G161" s="9"/>
      <c r="H161" s="8"/>
      <c r="I161" s="8"/>
      <c r="J161" s="5"/>
      <c r="K161" s="5"/>
      <c r="L161" s="5"/>
      <c r="M161" s="5"/>
      <c r="N161" s="5"/>
      <c r="O161" s="5"/>
    </row>
    <row r="162" spans="1:15" ht="15" x14ac:dyDescent="0.2">
      <c r="A162" s="8"/>
      <c r="B162" s="12" t="s">
        <v>3</v>
      </c>
      <c r="C162" s="11"/>
      <c r="D162" s="11"/>
      <c r="E162" s="8"/>
      <c r="F162" s="8"/>
      <c r="G162" s="9"/>
      <c r="H162" s="8"/>
      <c r="I162" s="8"/>
      <c r="J162" s="5"/>
      <c r="K162" s="5"/>
      <c r="L162" s="5"/>
      <c r="M162" s="5"/>
      <c r="N162" s="5"/>
      <c r="O162" s="5"/>
    </row>
    <row r="163" spans="1:15" ht="15" x14ac:dyDescent="0.2">
      <c r="A163" s="8"/>
      <c r="B163" s="12" t="s">
        <v>2</v>
      </c>
      <c r="C163" s="11"/>
      <c r="D163" s="11"/>
      <c r="E163" s="8"/>
      <c r="F163" s="8"/>
      <c r="G163" s="9"/>
      <c r="H163" s="8"/>
      <c r="I163" s="8"/>
      <c r="J163" s="5"/>
      <c r="K163" s="5"/>
      <c r="L163" s="5"/>
      <c r="M163" s="5"/>
      <c r="N163" s="5"/>
      <c r="O163" s="5"/>
    </row>
    <row r="164" spans="1:15" ht="15" x14ac:dyDescent="0.2">
      <c r="A164" s="8"/>
      <c r="B164" s="13" t="s">
        <v>1</v>
      </c>
      <c r="C164" s="11"/>
      <c r="D164" s="11"/>
      <c r="E164" s="8"/>
      <c r="F164" s="8"/>
      <c r="G164" s="9"/>
      <c r="H164" s="8"/>
      <c r="I164" s="8"/>
      <c r="J164" s="5"/>
      <c r="K164" s="5"/>
      <c r="L164" s="5"/>
      <c r="M164" s="5"/>
      <c r="N164" s="5"/>
      <c r="O164" s="5"/>
    </row>
    <row r="165" spans="1:15" ht="15" x14ac:dyDescent="0.2">
      <c r="A165" s="8"/>
      <c r="B165" s="12" t="s">
        <v>0</v>
      </c>
      <c r="C165" s="11"/>
      <c r="D165" s="11"/>
      <c r="E165" s="8"/>
      <c r="F165" s="8"/>
      <c r="G165" s="9"/>
      <c r="H165" s="8"/>
      <c r="I165" s="8"/>
      <c r="J165" s="5"/>
      <c r="K165" s="5"/>
      <c r="L165" s="5"/>
      <c r="M165" s="5"/>
      <c r="N165" s="5"/>
      <c r="O165" s="5"/>
    </row>
    <row r="166" spans="1:15" ht="15" x14ac:dyDescent="0.2">
      <c r="A166" s="8"/>
      <c r="B166" s="10"/>
      <c r="C166" s="8"/>
      <c r="D166" s="8"/>
      <c r="E166" s="8"/>
      <c r="F166" s="8"/>
      <c r="G166" s="9"/>
      <c r="H166" s="8"/>
      <c r="I166" s="8"/>
      <c r="J166" s="5"/>
      <c r="K166" s="5"/>
      <c r="L166" s="5"/>
      <c r="M166" s="5"/>
      <c r="N166" s="5"/>
      <c r="O166" s="5"/>
    </row>
    <row r="167" spans="1:15" ht="15" x14ac:dyDescent="0.2">
      <c r="A167" s="3"/>
      <c r="B167" s="3"/>
      <c r="C167" s="3"/>
      <c r="D167" s="3"/>
      <c r="E167" s="3"/>
      <c r="F167" s="3"/>
      <c r="G167" s="4"/>
      <c r="H167" s="3"/>
      <c r="I167" s="3"/>
      <c r="J167" s="5"/>
      <c r="K167" s="5"/>
      <c r="L167" s="5"/>
      <c r="M167" s="5"/>
      <c r="N167" s="5"/>
      <c r="O167" s="5"/>
    </row>
    <row r="168" spans="1:15" ht="15" x14ac:dyDescent="0.2">
      <c r="A168" s="7"/>
      <c r="C168" s="6"/>
      <c r="D168" s="6"/>
      <c r="E168" s="3"/>
      <c r="F168" s="3"/>
      <c r="G168" s="4"/>
      <c r="H168" s="3"/>
      <c r="I168" s="3"/>
      <c r="J168" s="5"/>
      <c r="K168" s="5"/>
      <c r="L168" s="5"/>
      <c r="M168" s="5"/>
      <c r="N168" s="5"/>
      <c r="O168" s="5"/>
    </row>
    <row r="169" spans="1:15" ht="15" x14ac:dyDescent="0.2">
      <c r="A169" s="7"/>
      <c r="C169" s="6"/>
      <c r="D169" s="6"/>
      <c r="E169" s="3"/>
      <c r="F169" s="3"/>
      <c r="G169" s="4"/>
      <c r="H169" s="3"/>
      <c r="I169" s="3"/>
      <c r="J169" s="5"/>
      <c r="K169" s="5"/>
      <c r="L169" s="5"/>
      <c r="M169" s="5"/>
      <c r="N169" s="5"/>
      <c r="O169" s="5"/>
    </row>
    <row r="170" spans="1:15" ht="15" x14ac:dyDescent="0.2">
      <c r="A170" s="3"/>
      <c r="C170" s="6"/>
      <c r="D170" s="6"/>
      <c r="E170" s="3"/>
      <c r="F170" s="3"/>
      <c r="G170" s="4"/>
      <c r="H170" s="3"/>
      <c r="I170" s="3"/>
      <c r="J170" s="5"/>
      <c r="K170" s="5"/>
      <c r="L170" s="5"/>
      <c r="M170" s="5"/>
      <c r="N170" s="5"/>
      <c r="O170" s="5"/>
    </row>
    <row r="171" spans="1:15" ht="15" x14ac:dyDescent="0.2">
      <c r="A171" s="3"/>
      <c r="C171" s="6"/>
      <c r="D171" s="6"/>
      <c r="E171" s="3"/>
      <c r="F171" s="3"/>
      <c r="G171" s="4"/>
      <c r="H171" s="3"/>
      <c r="I171" s="3"/>
      <c r="J171" s="5"/>
      <c r="K171" s="5"/>
      <c r="L171" s="5"/>
      <c r="M171" s="5"/>
      <c r="N171" s="5"/>
      <c r="O171" s="5"/>
    </row>
    <row r="172" spans="1:15" ht="15" x14ac:dyDescent="0.2">
      <c r="A172" s="3"/>
      <c r="B172" s="3"/>
      <c r="C172" s="3"/>
      <c r="D172" s="3"/>
      <c r="E172" s="3"/>
      <c r="F172" s="3"/>
      <c r="G172" s="4"/>
      <c r="H172" s="3"/>
      <c r="I172" s="3"/>
      <c r="J172" s="5"/>
      <c r="K172" s="5"/>
      <c r="L172" s="5"/>
      <c r="M172" s="5"/>
      <c r="N172" s="5"/>
      <c r="O172" s="5"/>
    </row>
    <row r="173" spans="1:15" ht="15" x14ac:dyDescent="0.2">
      <c r="A173" s="3"/>
      <c r="B173" s="3"/>
      <c r="C173" s="3"/>
      <c r="D173" s="3"/>
      <c r="E173" s="3"/>
      <c r="F173" s="3"/>
      <c r="G173" s="4"/>
      <c r="H173" s="3"/>
      <c r="I173" s="3"/>
      <c r="J173" s="5"/>
      <c r="K173" s="5"/>
      <c r="L173" s="5"/>
      <c r="M173" s="5"/>
      <c r="N173" s="5"/>
      <c r="O173" s="5"/>
    </row>
    <row r="174" spans="1:15" ht="15" x14ac:dyDescent="0.2">
      <c r="A174" s="3"/>
      <c r="B174" s="3"/>
      <c r="C174" s="3"/>
      <c r="D174" s="3"/>
      <c r="E174" s="3"/>
      <c r="F174" s="3"/>
      <c r="G174" s="4"/>
      <c r="H174" s="3"/>
      <c r="I174" s="3"/>
      <c r="J174" s="5"/>
      <c r="K174" s="5"/>
      <c r="L174" s="5"/>
      <c r="M174" s="5"/>
      <c r="N174" s="5"/>
      <c r="O174" s="5"/>
    </row>
    <row r="175" spans="1:15" ht="15" x14ac:dyDescent="0.2">
      <c r="A175" s="3"/>
      <c r="B175" s="3"/>
      <c r="C175" s="3"/>
      <c r="D175" s="3"/>
      <c r="E175" s="3"/>
      <c r="F175" s="3"/>
      <c r="G175" s="4"/>
      <c r="H175" s="3"/>
      <c r="I175" s="3"/>
      <c r="J175" s="5"/>
      <c r="K175" s="5"/>
      <c r="L175" s="5"/>
      <c r="M175" s="5"/>
      <c r="N175" s="5"/>
      <c r="O175" s="5"/>
    </row>
    <row r="176" spans="1:15" ht="15" x14ac:dyDescent="0.2">
      <c r="A176" s="3"/>
      <c r="B176" s="3"/>
      <c r="C176" s="3"/>
      <c r="D176" s="3"/>
      <c r="E176" s="3"/>
      <c r="F176" s="3"/>
      <c r="G176" s="4"/>
      <c r="H176" s="3"/>
      <c r="I176" s="3"/>
      <c r="J176" s="5"/>
      <c r="K176" s="5"/>
      <c r="L176" s="5"/>
      <c r="M176" s="5"/>
      <c r="N176" s="5"/>
      <c r="O176" s="5"/>
    </row>
    <row r="177" spans="1:15" ht="15" x14ac:dyDescent="0.2">
      <c r="A177" s="3"/>
      <c r="B177" s="3"/>
      <c r="C177" s="3"/>
      <c r="D177" s="3"/>
      <c r="E177" s="3"/>
      <c r="F177" s="3"/>
      <c r="G177" s="4"/>
      <c r="H177" s="3"/>
      <c r="I177" s="3"/>
      <c r="J177" s="5"/>
      <c r="K177" s="5"/>
      <c r="L177" s="5"/>
      <c r="M177" s="5"/>
      <c r="N177" s="5"/>
      <c r="O177" s="5"/>
    </row>
    <row r="178" spans="1:15" ht="15" x14ac:dyDescent="0.2">
      <c r="A178" s="3"/>
      <c r="B178" s="3"/>
      <c r="C178" s="3"/>
      <c r="D178" s="3"/>
      <c r="E178" s="3"/>
      <c r="F178" s="3"/>
      <c r="G178" s="4"/>
      <c r="H178" s="3"/>
      <c r="I178" s="3"/>
      <c r="J178" s="5"/>
      <c r="K178" s="5"/>
      <c r="L178" s="5"/>
      <c r="M178" s="5"/>
      <c r="N178" s="5"/>
      <c r="O178" s="5"/>
    </row>
    <row r="179" spans="1:15" ht="15" x14ac:dyDescent="0.2">
      <c r="A179" s="3"/>
      <c r="B179" s="3"/>
      <c r="C179" s="3"/>
      <c r="D179" s="3"/>
      <c r="E179" s="3"/>
      <c r="F179" s="3"/>
      <c r="G179" s="4"/>
      <c r="H179" s="3"/>
      <c r="I179" s="3"/>
      <c r="J179" s="5"/>
      <c r="K179" s="5"/>
      <c r="L179" s="5"/>
      <c r="M179" s="5"/>
      <c r="N179" s="5"/>
      <c r="O179" s="5"/>
    </row>
    <row r="180" spans="1:15" ht="15" x14ac:dyDescent="0.2">
      <c r="A180" s="3"/>
      <c r="B180" s="3"/>
      <c r="C180" s="3"/>
      <c r="D180" s="3"/>
      <c r="E180" s="3"/>
      <c r="F180" s="3"/>
      <c r="G180" s="4"/>
      <c r="H180" s="3"/>
      <c r="I180" s="3"/>
      <c r="J180" s="5"/>
      <c r="K180" s="5"/>
      <c r="L180" s="5"/>
      <c r="M180" s="5"/>
      <c r="N180" s="5"/>
      <c r="O180" s="5"/>
    </row>
    <row r="181" spans="1:15" ht="15" x14ac:dyDescent="0.2">
      <c r="A181" s="3"/>
      <c r="B181" s="3"/>
      <c r="C181" s="3"/>
      <c r="D181" s="3"/>
      <c r="E181" s="3"/>
      <c r="F181" s="3"/>
      <c r="G181" s="4"/>
      <c r="H181" s="3"/>
      <c r="I181" s="3"/>
      <c r="J181" s="5"/>
      <c r="K181" s="5"/>
      <c r="L181" s="5"/>
      <c r="M181" s="5"/>
      <c r="N181" s="5"/>
      <c r="O181" s="5"/>
    </row>
    <row r="182" spans="1:15" ht="15" x14ac:dyDescent="0.2">
      <c r="A182" s="3"/>
      <c r="B182" s="3"/>
      <c r="C182" s="3"/>
      <c r="D182" s="3"/>
      <c r="E182" s="3"/>
      <c r="F182" s="3"/>
      <c r="G182" s="4"/>
      <c r="H182" s="3"/>
      <c r="I182" s="3"/>
      <c r="J182" s="5"/>
      <c r="K182" s="5"/>
      <c r="L182" s="5"/>
      <c r="M182" s="5"/>
      <c r="N182" s="5"/>
      <c r="O182" s="5"/>
    </row>
    <row r="183" spans="1:15" ht="15" x14ac:dyDescent="0.2">
      <c r="A183" s="3"/>
      <c r="B183" s="3"/>
      <c r="C183" s="3"/>
      <c r="D183" s="3"/>
      <c r="E183" s="3"/>
      <c r="F183" s="3"/>
      <c r="G183" s="4"/>
      <c r="H183" s="3"/>
      <c r="I183" s="3"/>
      <c r="J183" s="5"/>
      <c r="K183" s="5"/>
      <c r="L183" s="5"/>
      <c r="M183" s="5"/>
      <c r="N183" s="5"/>
      <c r="O183" s="5"/>
    </row>
    <row r="184" spans="1:15" ht="15" x14ac:dyDescent="0.2">
      <c r="A184" s="3"/>
      <c r="B184" s="3"/>
      <c r="C184" s="3"/>
      <c r="D184" s="3"/>
      <c r="E184" s="3"/>
      <c r="F184" s="3"/>
      <c r="G184" s="4"/>
      <c r="H184" s="3"/>
      <c r="I184" s="3"/>
      <c r="J184" s="5"/>
      <c r="K184" s="5"/>
      <c r="L184" s="5"/>
      <c r="M184" s="5"/>
      <c r="N184" s="5"/>
      <c r="O184" s="5"/>
    </row>
    <row r="185" spans="1:15" ht="15" x14ac:dyDescent="0.2">
      <c r="A185" s="3"/>
      <c r="B185" s="3"/>
      <c r="C185" s="3"/>
      <c r="D185" s="3"/>
      <c r="E185" s="3"/>
      <c r="F185" s="3"/>
      <c r="G185" s="4"/>
      <c r="H185" s="3"/>
      <c r="I185" s="3"/>
      <c r="J185" s="5"/>
      <c r="K185" s="5"/>
      <c r="L185" s="5"/>
      <c r="M185" s="5"/>
      <c r="N185" s="5"/>
      <c r="O185" s="5"/>
    </row>
    <row r="186" spans="1:15" ht="15" x14ac:dyDescent="0.2">
      <c r="A186" s="3"/>
      <c r="B186" s="3"/>
      <c r="C186" s="3"/>
      <c r="D186" s="3"/>
      <c r="E186" s="3"/>
      <c r="F186" s="3"/>
      <c r="G186" s="4"/>
      <c r="H186" s="3"/>
      <c r="I186" s="3"/>
      <c r="J186" s="5"/>
      <c r="K186" s="5"/>
      <c r="L186" s="5"/>
      <c r="M186" s="5"/>
      <c r="N186" s="5"/>
      <c r="O186" s="5"/>
    </row>
    <row r="187" spans="1:15" ht="15" x14ac:dyDescent="0.2">
      <c r="A187" s="3"/>
      <c r="B187" s="3"/>
      <c r="C187" s="3"/>
      <c r="D187" s="3"/>
      <c r="E187" s="3"/>
      <c r="F187" s="3"/>
      <c r="G187" s="4"/>
      <c r="H187" s="3"/>
      <c r="I187" s="3"/>
      <c r="J187" s="5"/>
      <c r="K187" s="5"/>
      <c r="L187" s="5"/>
      <c r="M187" s="5"/>
      <c r="N187" s="5"/>
      <c r="O187" s="5"/>
    </row>
    <row r="188" spans="1:15" ht="15" x14ac:dyDescent="0.2">
      <c r="A188" s="3"/>
      <c r="B188" s="3"/>
      <c r="C188" s="3"/>
      <c r="D188" s="3"/>
      <c r="E188" s="3"/>
      <c r="F188" s="3"/>
      <c r="G188" s="4"/>
      <c r="H188" s="3"/>
      <c r="I188" s="3"/>
      <c r="J188" s="5"/>
      <c r="K188" s="5"/>
      <c r="L188" s="5"/>
      <c r="M188" s="5"/>
      <c r="N188" s="5"/>
      <c r="O188" s="5"/>
    </row>
    <row r="189" spans="1:15" ht="15" x14ac:dyDescent="0.2">
      <c r="A189" s="3"/>
      <c r="B189" s="3"/>
      <c r="C189" s="3"/>
      <c r="D189" s="3"/>
      <c r="E189" s="3"/>
      <c r="F189" s="3"/>
      <c r="G189" s="4"/>
      <c r="H189" s="3"/>
      <c r="I189" s="3"/>
      <c r="J189" s="5"/>
      <c r="K189" s="5"/>
      <c r="L189" s="5"/>
      <c r="M189" s="5"/>
      <c r="N189" s="5"/>
      <c r="O189" s="5"/>
    </row>
    <row r="190" spans="1:15" ht="15" x14ac:dyDescent="0.2">
      <c r="A190" s="3"/>
      <c r="B190" s="3"/>
      <c r="C190" s="3"/>
      <c r="D190" s="3"/>
      <c r="E190" s="3"/>
      <c r="F190" s="3"/>
      <c r="G190" s="4"/>
      <c r="H190" s="3"/>
      <c r="I190" s="3"/>
      <c r="J190" s="5"/>
      <c r="K190" s="5"/>
      <c r="L190" s="5"/>
      <c r="M190" s="5"/>
      <c r="N190" s="5"/>
      <c r="O190" s="5"/>
    </row>
    <row r="191" spans="1:15" ht="15" x14ac:dyDescent="0.2">
      <c r="A191" s="3"/>
      <c r="B191" s="3"/>
      <c r="C191" s="3"/>
      <c r="D191" s="3"/>
      <c r="E191" s="3"/>
      <c r="F191" s="3"/>
      <c r="G191" s="4"/>
      <c r="H191" s="3"/>
      <c r="I191" s="3"/>
      <c r="J191" s="5"/>
      <c r="K191" s="5"/>
      <c r="L191" s="5"/>
      <c r="M191" s="5"/>
      <c r="N191" s="5"/>
      <c r="O191" s="5"/>
    </row>
    <row r="192" spans="1:15" ht="15" x14ac:dyDescent="0.2">
      <c r="A192" s="3"/>
      <c r="B192" s="3"/>
      <c r="C192" s="3"/>
      <c r="D192" s="3"/>
      <c r="E192" s="3"/>
      <c r="F192" s="3"/>
      <c r="G192" s="4"/>
      <c r="H192" s="3"/>
      <c r="I192" s="3"/>
      <c r="J192" s="5"/>
      <c r="K192" s="5"/>
      <c r="L192" s="5"/>
      <c r="M192" s="5"/>
      <c r="N192" s="5"/>
      <c r="O192" s="5"/>
    </row>
    <row r="193" spans="1:15" ht="15" x14ac:dyDescent="0.2">
      <c r="A193" s="3"/>
      <c r="B193" s="3"/>
      <c r="C193" s="3"/>
      <c r="D193" s="3"/>
      <c r="E193" s="3"/>
      <c r="F193" s="3"/>
      <c r="G193" s="4"/>
      <c r="H193" s="3"/>
      <c r="I193" s="3"/>
      <c r="J193" s="5"/>
      <c r="K193" s="5"/>
      <c r="L193" s="5"/>
      <c r="M193" s="5"/>
      <c r="N193" s="5"/>
      <c r="O193" s="5"/>
    </row>
    <row r="194" spans="1:15" ht="15" x14ac:dyDescent="0.2">
      <c r="A194" s="3"/>
      <c r="B194" s="3"/>
      <c r="C194" s="3"/>
      <c r="D194" s="3"/>
      <c r="E194" s="3"/>
      <c r="F194" s="3"/>
      <c r="G194" s="4"/>
      <c r="H194" s="3"/>
      <c r="I194" s="3"/>
      <c r="J194" s="5"/>
      <c r="K194" s="5"/>
      <c r="L194" s="5"/>
      <c r="M194" s="5"/>
      <c r="N194" s="5"/>
      <c r="O194" s="5"/>
    </row>
    <row r="195" spans="1:15" ht="15" x14ac:dyDescent="0.2">
      <c r="A195" s="3"/>
      <c r="B195" s="3"/>
      <c r="C195" s="3"/>
      <c r="D195" s="3"/>
      <c r="E195" s="3"/>
      <c r="F195" s="3"/>
      <c r="G195" s="4"/>
      <c r="H195" s="3"/>
      <c r="I195" s="3"/>
      <c r="J195" s="5"/>
      <c r="K195" s="5"/>
      <c r="L195" s="5"/>
      <c r="M195" s="5"/>
      <c r="N195" s="5"/>
      <c r="O195" s="5"/>
    </row>
    <row r="196" spans="1:15" ht="15" x14ac:dyDescent="0.2">
      <c r="A196" s="3"/>
      <c r="B196" s="3"/>
      <c r="C196" s="3"/>
      <c r="D196" s="3"/>
      <c r="E196" s="3"/>
      <c r="F196" s="3"/>
      <c r="G196" s="4"/>
      <c r="H196" s="3"/>
      <c r="I196" s="3"/>
      <c r="J196" s="5"/>
      <c r="K196" s="5"/>
      <c r="L196" s="5"/>
      <c r="M196" s="5"/>
      <c r="N196" s="5"/>
      <c r="O196" s="5"/>
    </row>
    <row r="197" spans="1:15" ht="15" x14ac:dyDescent="0.2">
      <c r="A197" s="3"/>
      <c r="B197" s="3"/>
      <c r="C197" s="3"/>
      <c r="D197" s="3"/>
      <c r="E197" s="3"/>
      <c r="F197" s="3"/>
      <c r="G197" s="4"/>
      <c r="H197" s="3"/>
      <c r="I197" s="3"/>
    </row>
  </sheetData>
  <sheetProtection sheet="1" objects="1" scenarios="1" selectLockedCells="1"/>
  <printOptions horizontalCentered="1"/>
  <pageMargins left="0.75" right="0.75" top="0.75" bottom="0.75" header="0.5" footer="0.5"/>
  <pageSetup scale="53" fitToHeight="2" orientation="portrait" r:id="rId1"/>
  <headerFooter alignWithMargins="0"/>
  <rowBreaks count="1" manualBreakCount="1">
    <brk id="9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Stker Drylot 2017</vt:lpstr>
      <vt:lpstr>'Stker Drylot 2017'!\AUTOEXEC</vt:lpstr>
      <vt:lpstr>'Stker Drylot 2017'!\l</vt:lpstr>
      <vt:lpstr>'Stker Drylot 2017'!\p</vt:lpstr>
      <vt:lpstr>'Stker Drylot 2017'!BTABLE</vt:lpstr>
      <vt:lpstr>'Stker Drylot 2017'!BTABLE1</vt:lpstr>
      <vt:lpstr>'Stker Drylot 2017'!FOOT</vt:lpstr>
      <vt:lpstr>'Stker Drylot 2017'!FOOT1</vt:lpstr>
      <vt:lpstr>'Stker Drylot 2017'!HELP</vt:lpstr>
      <vt:lpstr>'Stker Drylot 2017'!INVEST</vt:lpstr>
      <vt:lpstr>'Stker Drylot 2017'!Print_Area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Kelley</dc:creator>
  <cp:lastModifiedBy>William Kelley</cp:lastModifiedBy>
  <dcterms:created xsi:type="dcterms:W3CDTF">2017-08-28T17:53:42Z</dcterms:created>
  <dcterms:modified xsi:type="dcterms:W3CDTF">2017-08-28T18:23:57Z</dcterms:modified>
</cp:coreProperties>
</file>