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LLEWI\Desktop\2017-18 STocker Budgets with PDF\"/>
    </mc:Choice>
  </mc:AlternateContent>
  <bookViews>
    <workbookView xWindow="0" yWindow="0" windowWidth="19200" windowHeight="12228"/>
  </bookViews>
  <sheets>
    <sheet name="Grz w suppl 2017" sheetId="1" r:id="rId1"/>
  </sheets>
  <externalReferences>
    <externalReference r:id="rId2"/>
    <externalReference r:id="rId3"/>
  </externalReferences>
  <definedNames>
    <definedName name="\AUTOEXEC">'Grz w suppl 2017'!$M$1</definedName>
    <definedName name="\autoexeci">[1]FesEst02!$K$1</definedName>
    <definedName name="\l">'Grz w suppl 2017'!$M$33</definedName>
    <definedName name="\p">'Grz w suppl 2017'!$M$3</definedName>
    <definedName name="ANCHOR">#REF!</definedName>
    <definedName name="BTABLE">'Grz w suppl 2017'!$A$18:$G$94</definedName>
    <definedName name="BTABLE1">'Grz w suppl 2017'!$A$18:$H$94</definedName>
    <definedName name="CHEMICAL">#REF!</definedName>
    <definedName name="ETABLE">#REF!</definedName>
    <definedName name="FOOT">'Grz w suppl 2017'!$M$16:$V$19</definedName>
    <definedName name="FOOT1">'Grz w suppl 2017'!$M$26:$V$31</definedName>
    <definedName name="FOOT2">'Grz w suppl 2017'!$A$93:$H$94</definedName>
    <definedName name="FOOTJC">#REF!</definedName>
    <definedName name="HEAD">#REF!</definedName>
    <definedName name="HELP">'Grz w suppl 2017'!$A$1:$G$17</definedName>
    <definedName name="HERB">#REF!</definedName>
    <definedName name="INFO">#REF!</definedName>
    <definedName name="INSECT">#REF!</definedName>
    <definedName name="INVEST">'Grz w suppl 2017'!$A$99:$L$170</definedName>
    <definedName name="JWFOOT">#REF!</definedName>
    <definedName name="JWFOOT1">#REF!</definedName>
    <definedName name="JWHELP">#REF!</definedName>
    <definedName name="JWMTABLE">#REF!</definedName>
    <definedName name="JWTABLE">#REF!</definedName>
    <definedName name="JWTABLE1">#REF!</definedName>
    <definedName name="JWTRAC">#REF!</definedName>
    <definedName name="LASERP">'Grz w suppl 2017'!$L$33:$M$35</definedName>
    <definedName name="MTABLE">#REF!</definedName>
    <definedName name="_xlnm.Print_Area" localSheetId="0">'Grz w suppl 2017'!$A$18:$I$172</definedName>
    <definedName name="REF">#REF!</definedName>
    <definedName name="rename">[2]FesEstab09!#REF!</definedName>
    <definedName name="STABLE">#REF!</definedName>
    <definedName name="TRAC">#REF!</definedName>
  </definedNames>
  <calcPr calcId="162913" calcMode="autoNoTable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C25" i="1" l="1"/>
  <c r="L25" i="1"/>
  <c r="L27" i="1" s="1"/>
  <c r="A23" i="1" s="1"/>
  <c r="E37" i="1" s="1"/>
  <c r="L26" i="1"/>
  <c r="C33" i="1"/>
  <c r="E40" i="1" s="1"/>
  <c r="G40" i="1" s="1"/>
  <c r="H40" i="1" s="1"/>
  <c r="E33" i="1"/>
  <c r="P22" i="1" s="1"/>
  <c r="F33" i="1"/>
  <c r="C36" i="1"/>
  <c r="E36" i="1"/>
  <c r="G36" i="1"/>
  <c r="H36" i="1"/>
  <c r="E38" i="1"/>
  <c r="G38" i="1"/>
  <c r="H38" i="1"/>
  <c r="E39" i="1"/>
  <c r="G39" i="1"/>
  <c r="H39" i="1"/>
  <c r="E42" i="1"/>
  <c r="G42" i="1"/>
  <c r="H42" i="1"/>
  <c r="E43" i="1"/>
  <c r="G43" i="1"/>
  <c r="H43" i="1"/>
  <c r="E46" i="1"/>
  <c r="G46" i="1"/>
  <c r="H46" i="1" s="1"/>
  <c r="E55" i="1"/>
  <c r="G55" i="1" s="1"/>
  <c r="G69" i="1"/>
  <c r="A71" i="1"/>
  <c r="A96" i="1"/>
  <c r="B96" i="1"/>
  <c r="F105" i="1"/>
  <c r="J105" i="1" s="1"/>
  <c r="J114" i="1" s="1"/>
  <c r="F106" i="1"/>
  <c r="J106" i="1" s="1"/>
  <c r="K106" i="1" s="1"/>
  <c r="L106" i="1"/>
  <c r="M106" i="1"/>
  <c r="F107" i="1"/>
  <c r="L107" i="1" s="1"/>
  <c r="J107" i="1"/>
  <c r="K107" i="1"/>
  <c r="M107" i="1"/>
  <c r="F108" i="1"/>
  <c r="K108" i="1" s="1"/>
  <c r="J108" i="1"/>
  <c r="M108" i="1"/>
  <c r="F109" i="1"/>
  <c r="J109" i="1" s="1"/>
  <c r="M109" i="1"/>
  <c r="F110" i="1"/>
  <c r="J110" i="1" s="1"/>
  <c r="K110" i="1" s="1"/>
  <c r="L110" i="1"/>
  <c r="M110" i="1"/>
  <c r="F111" i="1"/>
  <c r="L111" i="1" s="1"/>
  <c r="J111" i="1"/>
  <c r="K111" i="1"/>
  <c r="M111" i="1"/>
  <c r="F112" i="1"/>
  <c r="K112" i="1" s="1"/>
  <c r="J112" i="1"/>
  <c r="F114" i="1"/>
  <c r="A123" i="1"/>
  <c r="F127" i="1"/>
  <c r="G127" i="1" s="1"/>
  <c r="AC129" i="1"/>
  <c r="C133" i="1"/>
  <c r="C142" i="1"/>
  <c r="B147" i="1"/>
  <c r="B140" i="1" s="1"/>
  <c r="C147" i="1"/>
  <c r="C140" i="1" s="1"/>
  <c r="C149" i="1"/>
  <c r="C135" i="1" s="1"/>
  <c r="C154" i="1"/>
  <c r="C161" i="1"/>
  <c r="E57" i="1" l="1"/>
  <c r="G57" i="1" s="1"/>
  <c r="H57" i="1" s="1"/>
  <c r="E44" i="1"/>
  <c r="G44" i="1" s="1"/>
  <c r="H44" i="1" s="1"/>
  <c r="E56" i="1"/>
  <c r="G56" i="1" s="1"/>
  <c r="H56" i="1" s="1"/>
  <c r="G37" i="1"/>
  <c r="H55" i="1"/>
  <c r="M105" i="1"/>
  <c r="M114" i="1" s="1"/>
  <c r="G59" i="1" s="1"/>
  <c r="H59" i="1" s="1"/>
  <c r="E127" i="1"/>
  <c r="M112" i="1"/>
  <c r="L105" i="1"/>
  <c r="L109" i="1"/>
  <c r="B161" i="1"/>
  <c r="C156" i="1"/>
  <c r="C145" i="1"/>
  <c r="B133" i="1"/>
  <c r="H127" i="1"/>
  <c r="D127" i="1"/>
  <c r="L112" i="1"/>
  <c r="K109" i="1"/>
  <c r="L108" i="1"/>
  <c r="K105" i="1"/>
  <c r="K114" i="1" s="1"/>
  <c r="G58" i="1" s="1"/>
  <c r="H58" i="1" s="1"/>
  <c r="K48" i="1"/>
  <c r="E45" i="1"/>
  <c r="E41" i="1"/>
  <c r="G41" i="1" s="1"/>
  <c r="H41" i="1" s="1"/>
  <c r="G33" i="1"/>
  <c r="B154" i="1"/>
  <c r="C163" i="1"/>
  <c r="G61" i="1" l="1"/>
  <c r="H61" i="1" s="1"/>
  <c r="C152" i="1"/>
  <c r="C138" i="1"/>
  <c r="C131" i="1"/>
  <c r="C159" i="1"/>
  <c r="L114" i="1"/>
  <c r="G47" i="1" s="1"/>
  <c r="H47" i="1" s="1"/>
  <c r="E48" i="1"/>
  <c r="G48" i="1" s="1"/>
  <c r="H48" i="1" s="1"/>
  <c r="H37" i="1"/>
  <c r="G71" i="1"/>
  <c r="G67" i="1"/>
  <c r="H33" i="1"/>
  <c r="G75" i="1"/>
  <c r="F45" i="1" l="1"/>
  <c r="G45" i="1" s="1"/>
  <c r="F152" i="1" s="1"/>
  <c r="I33" i="1"/>
  <c r="D159" i="1"/>
  <c r="F131" i="1"/>
  <c r="F138" i="1"/>
  <c r="H131" i="1"/>
  <c r="D138" i="1" l="1"/>
  <c r="H45" i="1"/>
  <c r="F149" i="1"/>
  <c r="F140" i="1"/>
  <c r="F156" i="1"/>
  <c r="F142" i="1"/>
  <c r="G156" i="1"/>
  <c r="G163" i="1"/>
  <c r="D142" i="1"/>
  <c r="D161" i="1"/>
  <c r="D163" i="1"/>
  <c r="F135" i="1"/>
  <c r="H140" i="1"/>
  <c r="H135" i="1"/>
  <c r="H149" i="1"/>
  <c r="F163" i="1"/>
  <c r="E138" i="1"/>
  <c r="E156" i="1"/>
  <c r="E152" i="1"/>
  <c r="G133" i="1"/>
  <c r="E131" i="1"/>
  <c r="G142" i="1"/>
  <c r="F154" i="1"/>
  <c r="D154" i="1"/>
  <c r="D135" i="1"/>
  <c r="D140" i="1"/>
  <c r="D149" i="1"/>
  <c r="H142" i="1"/>
  <c r="H145" i="1"/>
  <c r="H147" i="1"/>
  <c r="H156" i="1"/>
  <c r="G140" i="1"/>
  <c r="E149" i="1"/>
  <c r="E140" i="1"/>
  <c r="G161" i="1"/>
  <c r="D147" i="1"/>
  <c r="D145" i="1"/>
  <c r="G154" i="1"/>
  <c r="H154" i="1"/>
  <c r="H133" i="1"/>
  <c r="H152" i="1"/>
  <c r="H161" i="1"/>
  <c r="F147" i="1"/>
  <c r="G147" i="1"/>
  <c r="F133" i="1"/>
  <c r="E161" i="1"/>
  <c r="E142" i="1"/>
  <c r="E163" i="1"/>
  <c r="G135" i="1"/>
  <c r="D156" i="1"/>
  <c r="D133" i="1"/>
  <c r="H163" i="1"/>
  <c r="F161" i="1"/>
  <c r="G145" i="1"/>
  <c r="G50" i="1"/>
  <c r="E133" i="1"/>
  <c r="E145" i="1"/>
  <c r="E154" i="1"/>
  <c r="E147" i="1"/>
  <c r="G149" i="1"/>
  <c r="E159" i="1"/>
  <c r="F145" i="1"/>
  <c r="E135" i="1"/>
  <c r="H159" i="1"/>
  <c r="F159" i="1"/>
  <c r="D152" i="1"/>
  <c r="H138" i="1"/>
  <c r="G138" i="1"/>
  <c r="G131" i="1"/>
  <c r="G159" i="1"/>
  <c r="G152" i="1"/>
  <c r="D131" i="1"/>
  <c r="G63" i="1" l="1"/>
  <c r="H50" i="1"/>
  <c r="G85" i="1"/>
  <c r="G77" i="1"/>
  <c r="G52" i="1"/>
  <c r="G81" i="1" l="1"/>
  <c r="H52" i="1"/>
  <c r="G79" i="1"/>
  <c r="G87" i="1"/>
  <c r="H63" i="1"/>
  <c r="G73" i="1"/>
  <c r="G65" i="1"/>
  <c r="H65" i="1" l="1"/>
  <c r="G83" i="1"/>
  <c r="K88" i="1"/>
  <c r="K87" i="1" s="1"/>
  <c r="G89" i="1" s="1"/>
  <c r="I46" i="1"/>
  <c r="I42" i="1"/>
  <c r="I38" i="1"/>
  <c r="I39" i="1"/>
  <c r="I43" i="1"/>
  <c r="I40" i="1"/>
  <c r="I36" i="1"/>
  <c r="I56" i="1"/>
  <c r="I57" i="1"/>
  <c r="I59" i="1"/>
  <c r="I58" i="1"/>
  <c r="I55" i="1"/>
  <c r="I61" i="1" s="1"/>
  <c r="I44" i="1"/>
  <c r="I41" i="1"/>
  <c r="I37" i="1"/>
  <c r="I48" i="1"/>
  <c r="I47" i="1"/>
  <c r="I45" i="1"/>
  <c r="I50" i="1" l="1"/>
  <c r="I63" i="1"/>
  <c r="G91" i="1"/>
</calcChain>
</file>

<file path=xl/sharedStrings.xml><?xml version="1.0" encoding="utf-8"?>
<sst xmlns="http://schemas.openxmlformats.org/spreadsheetml/2006/main" count="249" uniqueCount="131">
  <si>
    <t xml:space="preserve">                             MAX RUNGE, EXTENSION ECONOMIST</t>
  </si>
  <si>
    <t xml:space="preserve">                             SOREN RODNING, EXTENSION VETERINARIAN</t>
  </si>
  <si>
    <t xml:space="preserve">                             KIM MULLENIX, EXTENSION ANIMAL SCIENTIST</t>
  </si>
  <si>
    <t>REFERENCES: KEN KELLEY, REGIONAL EXTENSION AGENT</t>
  </si>
  <si>
    <t xml:space="preserve">  (1) PRODUCTION COSTS ARE HELD CONSTANT.</t>
  </si>
  <si>
    <t xml:space="preserve">  LITTER AT VARYING WEIGHT GAINS, PURCHASE/SELLING PRICES(1)</t>
  </si>
  <si>
    <t>STOCKER STEERS ON WINTER GRAZING/CHICKEN</t>
  </si>
  <si>
    <t>COSTS FOR</t>
  </si>
  <si>
    <t xml:space="preserve">             ------- dollars / head --------</t>
  </si>
  <si>
    <t xml:space="preserve">       ESTIMATED RETURN PER HEAD ABOVE ALL SPECIFIED</t>
  </si>
  <si>
    <t>(Lbs.)</t>
  </si>
  <si>
    <t>Steers, ($/Cwt.)</t>
  </si>
  <si>
    <t>Per Head</t>
  </si>
  <si>
    <t xml:space="preserve">For Feeder Cattle </t>
  </si>
  <si>
    <t xml:space="preserve">Weight Gain </t>
  </si>
  <si>
    <t xml:space="preserve"> # Stocker Calves</t>
  </si>
  <si>
    <t>Price Received</t>
  </si>
  <si>
    <t>Total</t>
  </si>
  <si>
    <t>Price Paid For</t>
  </si>
  <si>
    <t>AT VARIOUS WEIGHT GAINS AND PURCHASE/SELLING PRICES(1)</t>
  </si>
  <si>
    <t>SENSITIVITY OF NET RETURN PER HEAD ABOVE TOTAL COSTS</t>
  </si>
  <si>
    <t>TOTAL</t>
  </si>
  <si>
    <t>PICKUP</t>
  </si>
  <si>
    <t>TRACTOR</t>
  </si>
  <si>
    <t>P.T.O. GRINDER &amp; MIXER</t>
  </si>
  <si>
    <t>MINERAL FEEDER</t>
  </si>
  <si>
    <t>WATER TANK, ETC.</t>
  </si>
  <si>
    <t>FEED BUNK</t>
  </si>
  <si>
    <t>CORRAL</t>
  </si>
  <si>
    <t>FENCING</t>
  </si>
  <si>
    <t/>
  </si>
  <si>
    <t xml:space="preserve">   TION</t>
  </si>
  <si>
    <t xml:space="preserve">  VALUE</t>
  </si>
  <si>
    <t xml:space="preserve"> OF LIFE</t>
  </si>
  <si>
    <t xml:space="preserve"> VALUE(%)</t>
  </si>
  <si>
    <t xml:space="preserve"> CHARGED</t>
  </si>
  <si>
    <t>CHARGED</t>
  </si>
  <si>
    <t>NUMBER</t>
  </si>
  <si>
    <t>COST</t>
  </si>
  <si>
    <t>ITEM</t>
  </si>
  <si>
    <t>INSURANCE</t>
  </si>
  <si>
    <t xml:space="preserve"> REPAIRS</t>
  </si>
  <si>
    <t xml:space="preserve"> DEPRECIA-</t>
  </si>
  <si>
    <t xml:space="preserve"> SALVAGE</t>
  </si>
  <si>
    <t>YEARS</t>
  </si>
  <si>
    <t>PROPORTION</t>
  </si>
  <si>
    <t>ESTIMATED</t>
  </si>
  <si>
    <t>FACILITIES AND EQUIPMENT</t>
  </si>
  <si>
    <t>*RESEACH HAS SHOWN AN OPTIMAL SUPPLEMENTATION RATE OF 0.75 TO 1.00 PERCENT OF AVERAGE BODY WEIGHT FOR GRAZING CATTLE.</t>
  </si>
  <si>
    <t>THESE ESTIMATES SHOULD BE USED AS GUIDES FOR PLANNING PURPOSES ONLY.</t>
  </si>
  <si>
    <t xml:space="preserve">                              TO COVER TOTAL COSTS ($/CWT)</t>
  </si>
  <si>
    <t>MAXIMUM STOCKER PURCH. PRICE: TO COVER VARIABLE COSTS ($/CWT)</t>
  </si>
  <si>
    <t>BREAKEVEN FEEDER PRICE:       TO COVER VARIABLE COSTS ($/CWT)</t>
  </si>
  <si>
    <t xml:space="preserve">                              ABOVE TOTAL COSTS ($/HD)</t>
  </si>
  <si>
    <t>NET RETURNS PER HEAD SOLD:    ABOVE VARIABLE COSTS ($/HD)</t>
  </si>
  <si>
    <t xml:space="preserve">                              TO COVER TOTAL COSTS</t>
  </si>
  <si>
    <t>COST OF GAIN PER CWT.:        TO COVER VARIABLE COSTS ($/CWT)</t>
  </si>
  <si>
    <t>VALUE OF GAIN PER CWT. ($/CWT)</t>
  </si>
  <si>
    <t>TOTAL PRODUCTION COST PER HEAD ($/HD SOLD)</t>
  </si>
  <si>
    <t>GROSS MARGIN ($/HD SOLD)</t>
  </si>
  <si>
    <t>CWT. OF GAIN/HD SOLD;</t>
  </si>
  <si>
    <t>COST OF PURCHASED STOCKER CALVES PER HEAD ($/HD SOLD)</t>
  </si>
  <si>
    <t>VALUE OF FEEDER CATTLE PER HEAD ($/HD SOLD)</t>
  </si>
  <si>
    <t>6. NET RETURN ABOVE TOTAL COSTS</t>
  </si>
  <si>
    <t>5. TOTAL COST OF ALL SPECIFIED EXPENSES</t>
  </si>
  <si>
    <t xml:space="preserve">    TOTAL FIXED COSTS</t>
  </si>
  <si>
    <t xml:space="preserve">    DOL.</t>
  </si>
  <si>
    <t xml:space="preserve">    OTHER F.C. ON BLDG. &amp; EQUIP.</t>
  </si>
  <si>
    <t xml:space="preserve">    DEPR. ON BLDG. AND EQUIP.</t>
  </si>
  <si>
    <t xml:space="preserve">    INT. ON BLDG. AND EQUIP.</t>
  </si>
  <si>
    <t xml:space="preserve">    ACRE</t>
  </si>
  <si>
    <t xml:space="preserve">    WINTER GRAZING</t>
  </si>
  <si>
    <t xml:space="preserve">    HD.</t>
  </si>
  <si>
    <t xml:space="preserve">    GENERAL OVERHEAD</t>
  </si>
  <si>
    <t>4. FIXED COST</t>
  </si>
  <si>
    <t>3. INCOME ABOVE VARIABLE COST</t>
  </si>
  <si>
    <t xml:space="preserve">     TOTAL VARIABLE COSTS</t>
  </si>
  <si>
    <t xml:space="preserve">     INTEREST ON OP. CAP.</t>
  </si>
  <si>
    <t xml:space="preserve">     EQUIPMENT (REPAIR)</t>
  </si>
  <si>
    <t xml:space="preserve">     BEEF PROMOTION FEE</t>
  </si>
  <si>
    <t xml:space="preserve">     MARKETING EXPENSES</t>
  </si>
  <si>
    <t xml:space="preserve">    AC.</t>
  </si>
  <si>
    <t xml:space="preserve">     LAND RENTAL</t>
  </si>
  <si>
    <t xml:space="preserve">    HR.</t>
  </si>
  <si>
    <t xml:space="preserve">     LABOR</t>
  </si>
  <si>
    <t xml:space="preserve">     VET &amp; MED</t>
  </si>
  <si>
    <t xml:space="preserve">    TON</t>
  </si>
  <si>
    <t xml:space="preserve">     HAY</t>
  </si>
  <si>
    <t xml:space="preserve">    STARTER/RECEIVING FEED</t>
  </si>
  <si>
    <t xml:space="preserve">    CWT.</t>
  </si>
  <si>
    <t xml:space="preserve">     SALT &amp; MIN.</t>
  </si>
  <si>
    <t xml:space="preserve">     WINTER GRAZING</t>
  </si>
  <si>
    <t xml:space="preserve">     STOCKER CALVES</t>
  </si>
  <si>
    <t>2. VARIABLE COST</t>
  </si>
  <si>
    <t xml:space="preserve">     FEEDER CATTLE</t>
  </si>
  <si>
    <t>1.GROSS RECEIPTS</t>
  </si>
  <si>
    <t xml:space="preserve">Total </t>
  </si>
  <si>
    <t xml:space="preserve">Sold </t>
  </si>
  <si>
    <t>Value/Cost</t>
  </si>
  <si>
    <t>COST/UNIT</t>
  </si>
  <si>
    <t xml:space="preserve">% Of </t>
  </si>
  <si>
    <t>$/Head</t>
  </si>
  <si>
    <t>PRICE OR</t>
  </si>
  <si>
    <t>QUANTITY</t>
  </si>
  <si>
    <t>UNIT</t>
  </si>
  <si>
    <t>HEAD</t>
  </si>
  <si>
    <t>hd stocked/ac</t>
  </si>
  <si>
    <t>ALABAMA, 2016-2017</t>
  </si>
  <si>
    <t>initial calf pounds</t>
  </si>
  <si>
    <t>lbs stocked / acre</t>
  </si>
  <si>
    <t xml:space="preserve"> LBS. ENDING WEIGHT W/ 2 % SHRINK;</t>
  </si>
  <si>
    <t>PER CWT.</t>
  </si>
  <si>
    <t xml:space="preserve"> LBS. OF SUPPLEMENT FED/HD./DAY*;</t>
  </si>
  <si>
    <t>FEEDER CATTLE BASIS</t>
  </si>
  <si>
    <t>MAY</t>
  </si>
  <si>
    <t>DAYS OF STARTER/RECEIVING FEED REQUIRED; 5LB./DAY</t>
  </si>
  <si>
    <t xml:space="preserve"> HD. STOCKED/AC;</t>
  </si>
  <si>
    <t>Cwt.</t>
  </si>
  <si>
    <t xml:space="preserve"> TOTAL DAYS IN STOCKER PROGRAM;</t>
  </si>
  <si>
    <t xml:space="preserve"> LBS. STOCKED/AC;</t>
  </si>
  <si>
    <t>FUTURES CONTRACT PRICE</t>
  </si>
  <si>
    <t xml:space="preserve"> % DEATH LOSS;</t>
  </si>
  <si>
    <t xml:space="preserve"> LBS. ADG;</t>
  </si>
  <si>
    <t xml:space="preserve"> LBS. BEG. WT.;</t>
  </si>
  <si>
    <t xml:space="preserve">  ESTIMATED COSTS AND RETURNS; USING RECOMMENDED MANAGEMENT PRACTICES;</t>
  </si>
  <si>
    <t xml:space="preserve"> HEAD: STOCKER-STEER BUDGET (WINTER GRAZING WITH SUPPLEMENTAL RATION);</t>
  </si>
  <si>
    <t>NOTE: Changes can be made ONLY in the  HIGHLIGHTED cells.</t>
  </si>
  <si>
    <t>[Truckload capacity is 500 Cwt. Or 50,000#.]</t>
  </si>
  <si>
    <t xml:space="preserve"> STOCKERS  ON  WINTER  ANNUALS  &amp;  SUPPLEMENTAL FEED  BUDGET</t>
  </si>
  <si>
    <t xml:space="preserve">SUPPLEMENTAL FEED </t>
  </si>
  <si>
    <t xml:space="preserve">     SUPPLEMENTAL FEED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</si>
</sst>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0_)"/>
    <numFmt numFmtId="165" formatCode="0_)"/>
    <numFmt numFmtId="166" formatCode="_(* #,##0_);_(* \(#,##0\);_(* &quot;-&quot;??_);_(@_)"/>
    <numFmt numFmtId="167" formatCode="0.0000"/>
    <numFmt numFmtId="168" formatCode="&quot;$&quot;#,##0"/>
    <numFmt numFmtId="169" formatCode="&quot;$&quot;#,##0.00"/>
  </numFmts>
  <fonts count="13" x14ac:knownFonts="1"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12"/>
      <name val="Arial"/>
      <family val="2"/>
    </font>
    <font>
      <b/>
      <sz val="12"/>
      <color rgb="FF0000FF"/>
      <name val="Arial"/>
      <family val="2"/>
    </font>
    <font>
      <b/>
      <sz val="26"/>
      <name val="Arial"/>
      <family val="2"/>
    </font>
    <font>
      <sz val="12"/>
      <color rgb="FF0033C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  <xf numFmtId="164" fontId="1" fillId="0" borderId="0"/>
  </cellStyleXfs>
  <cellXfs count="169">
    <xf numFmtId="0" fontId="0" fillId="0" borderId="0" xfId="0"/>
    <xf numFmtId="164" fontId="2" fillId="0" borderId="0" xfId="2" applyFont="1"/>
    <xf numFmtId="164" fontId="2" fillId="2" borderId="0" xfId="2" applyFont="1" applyFill="1"/>
    <xf numFmtId="164" fontId="3" fillId="2" borderId="0" xfId="2" applyFont="1" applyFill="1"/>
    <xf numFmtId="164" fontId="3" fillId="2" borderId="0" xfId="3" applyFont="1" applyFill="1"/>
    <xf numFmtId="164" fontId="4" fillId="2" borderId="0" xfId="3" applyFont="1" applyFill="1" applyAlignment="1" applyProtection="1">
      <alignment horizontal="left"/>
      <protection locked="0"/>
    </xf>
    <xf numFmtId="164" fontId="4" fillId="2" borderId="0" xfId="4" applyFont="1" applyFill="1" applyAlignment="1" applyProtection="1">
      <alignment horizontal="left"/>
      <protection locked="0"/>
    </xf>
    <xf numFmtId="165" fontId="3" fillId="2" borderId="0" xfId="2" applyNumberFormat="1" applyFont="1" applyFill="1" applyAlignment="1" applyProtection="1">
      <alignment horizontal="left"/>
    </xf>
    <xf numFmtId="164" fontId="3" fillId="2" borderId="0" xfId="2" applyFont="1" applyFill="1" applyBorder="1"/>
    <xf numFmtId="164" fontId="3" fillId="2" borderId="1" xfId="2" applyFont="1" applyFill="1" applyBorder="1"/>
    <xf numFmtId="164" fontId="3" fillId="2" borderId="2" xfId="2" applyFont="1" applyFill="1" applyBorder="1"/>
    <xf numFmtId="164" fontId="3" fillId="2" borderId="2" xfId="2" applyFont="1" applyFill="1" applyBorder="1" applyAlignment="1" applyProtection="1">
      <alignment horizontal="left"/>
    </xf>
    <xf numFmtId="164" fontId="3" fillId="2" borderId="3" xfId="2" applyFont="1" applyFill="1" applyBorder="1" applyAlignment="1" applyProtection="1">
      <alignment horizontal="left"/>
    </xf>
    <xf numFmtId="164" fontId="3" fillId="2" borderId="0" xfId="2" applyFont="1" applyFill="1" applyBorder="1" applyAlignment="1" applyProtection="1">
      <alignment horizontal="center"/>
    </xf>
    <xf numFmtId="164" fontId="3" fillId="2" borderId="4" xfId="2" applyFont="1" applyFill="1" applyBorder="1" applyAlignment="1" applyProtection="1">
      <alignment horizontal="center"/>
    </xf>
    <xf numFmtId="164" fontId="3" fillId="2" borderId="5" xfId="2" applyFont="1" applyFill="1" applyBorder="1" applyAlignment="1" applyProtection="1">
      <alignment horizontal="center"/>
    </xf>
    <xf numFmtId="165" fontId="3" fillId="2" borderId="0" xfId="2" applyNumberFormat="1" applyFont="1" applyFill="1" applyBorder="1" applyAlignment="1" applyProtection="1">
      <alignment horizontal="center"/>
    </xf>
    <xf numFmtId="164" fontId="3" fillId="2" borderId="0" xfId="2" applyFont="1" applyFill="1" applyAlignment="1">
      <alignment horizontal="center"/>
    </xf>
    <xf numFmtId="164" fontId="3" fillId="2" borderId="0" xfId="2" applyFont="1" applyFill="1" applyBorder="1" applyAlignment="1">
      <alignment horizontal="center"/>
    </xf>
    <xf numFmtId="165" fontId="3" fillId="2" borderId="0" xfId="2" applyNumberFormat="1" applyFont="1" applyFill="1" applyAlignment="1" applyProtection="1">
      <alignment horizontal="center"/>
    </xf>
    <xf numFmtId="164" fontId="3" fillId="2" borderId="0" xfId="2" applyFont="1" applyFill="1" applyAlignment="1" applyProtection="1">
      <alignment horizontal="center"/>
    </xf>
    <xf numFmtId="164" fontId="3" fillId="2" borderId="4" xfId="2" applyFont="1" applyFill="1" applyBorder="1" applyAlignment="1">
      <alignment horizontal="center"/>
    </xf>
    <xf numFmtId="164" fontId="3" fillId="2" borderId="5" xfId="2" applyFont="1" applyFill="1" applyBorder="1" applyAlignment="1">
      <alignment horizontal="center"/>
    </xf>
    <xf numFmtId="164" fontId="3" fillId="2" borderId="6" xfId="2" applyFont="1" applyFill="1" applyBorder="1" applyAlignment="1" applyProtection="1">
      <alignment horizontal="center"/>
    </xf>
    <xf numFmtId="164" fontId="2" fillId="0" borderId="0" xfId="2" applyFont="1" applyAlignment="1" applyProtection="1">
      <alignment horizontal="left"/>
    </xf>
    <xf numFmtId="164" fontId="3" fillId="2" borderId="4" xfId="2" applyFont="1" applyFill="1" applyBorder="1"/>
    <xf numFmtId="164" fontId="2" fillId="0" borderId="0" xfId="2" applyFont="1" applyProtection="1"/>
    <xf numFmtId="164" fontId="2" fillId="2" borderId="0" xfId="2" applyFont="1" applyFill="1" applyBorder="1"/>
    <xf numFmtId="164" fontId="3" fillId="2" borderId="5" xfId="2" quotePrefix="1" applyFont="1" applyFill="1" applyBorder="1" applyAlignment="1" applyProtection="1">
      <alignment horizontal="left"/>
    </xf>
    <xf numFmtId="164" fontId="3" fillId="2" borderId="7" xfId="2" applyFont="1" applyFill="1" applyBorder="1"/>
    <xf numFmtId="164" fontId="3" fillId="2" borderId="8" xfId="2" applyFont="1" applyFill="1" applyBorder="1"/>
    <xf numFmtId="164" fontId="3" fillId="2" borderId="9" xfId="2" applyFont="1" applyFill="1" applyBorder="1" applyAlignment="1">
      <alignment horizontal="center"/>
    </xf>
    <xf numFmtId="164" fontId="3" fillId="2" borderId="0" xfId="2" applyFont="1" applyFill="1" applyBorder="1" applyProtection="1"/>
    <xf numFmtId="164" fontId="3" fillId="2" borderId="2" xfId="2" applyFont="1" applyFill="1" applyBorder="1" applyProtection="1"/>
    <xf numFmtId="164" fontId="3" fillId="2" borderId="2" xfId="2" applyFont="1" applyFill="1" applyBorder="1" applyAlignment="1" applyProtection="1">
      <alignment horizontal="center"/>
    </xf>
    <xf numFmtId="164" fontId="3" fillId="2" borderId="0" xfId="2" applyFont="1" applyFill="1" applyAlignment="1" applyProtection="1">
      <alignment horizontal="left"/>
    </xf>
    <xf numFmtId="164" fontId="3" fillId="2" borderId="0" xfId="2" quotePrefix="1" applyFont="1" applyFill="1" applyAlignment="1" applyProtection="1">
      <alignment horizontal="left"/>
    </xf>
    <xf numFmtId="165" fontId="3" fillId="2" borderId="0" xfId="2" quotePrefix="1" applyNumberFormat="1" applyFont="1" applyFill="1" applyAlignment="1" applyProtection="1">
      <alignment horizontal="left"/>
    </xf>
    <xf numFmtId="164" fontId="3" fillId="2" borderId="0" xfId="2" quotePrefix="1" applyFont="1" applyFill="1" applyAlignment="1" applyProtection="1">
      <alignment horizontal="center"/>
    </xf>
    <xf numFmtId="0" fontId="3" fillId="2" borderId="0" xfId="2" applyNumberFormat="1" applyFont="1" applyFill="1" applyAlignment="1" applyProtection="1">
      <alignment horizontal="right"/>
    </xf>
    <xf numFmtId="164" fontId="3" fillId="2" borderId="0" xfId="3" applyFont="1" applyFill="1" applyAlignment="1" applyProtection="1">
      <alignment horizontal="left"/>
    </xf>
    <xf numFmtId="164" fontId="3" fillId="2" borderId="0" xfId="2" applyFont="1" applyFill="1" applyProtection="1"/>
    <xf numFmtId="43" fontId="3" fillId="2" borderId="0" xfId="1" applyFont="1" applyFill="1" applyProtection="1"/>
    <xf numFmtId="164" fontId="4" fillId="2" borderId="0" xfId="2" applyFont="1" applyFill="1" applyAlignment="1" applyProtection="1">
      <alignment horizontal="fill"/>
      <protection locked="0"/>
    </xf>
    <xf numFmtId="164" fontId="5" fillId="0" borderId="0" xfId="2" applyFont="1" applyProtection="1">
      <protection locked="0"/>
    </xf>
    <xf numFmtId="164" fontId="4" fillId="2" borderId="0" xfId="2" applyFont="1" applyFill="1" applyBorder="1" applyProtection="1">
      <protection locked="0"/>
    </xf>
    <xf numFmtId="4" fontId="3" fillId="2" borderId="10" xfId="2" applyNumberFormat="1" applyFont="1" applyFill="1" applyBorder="1" applyProtection="1"/>
    <xf numFmtId="3" fontId="3" fillId="2" borderId="10" xfId="2" applyNumberFormat="1" applyFont="1" applyFill="1" applyBorder="1" applyProtection="1"/>
    <xf numFmtId="164" fontId="2" fillId="0" borderId="0" xfId="2" applyFont="1" applyBorder="1"/>
    <xf numFmtId="164" fontId="2" fillId="0" borderId="0" xfId="2" applyFont="1" applyBorder="1" applyProtection="1"/>
    <xf numFmtId="4" fontId="3" fillId="2" borderId="0" xfId="2" applyNumberFormat="1" applyFont="1" applyFill="1" applyBorder="1" applyProtection="1"/>
    <xf numFmtId="3" fontId="3" fillId="2" borderId="0" xfId="2" applyNumberFormat="1" applyFont="1" applyFill="1" applyBorder="1" applyProtection="1"/>
    <xf numFmtId="164" fontId="4" fillId="2" borderId="0" xfId="2" applyFont="1" applyFill="1" applyBorder="1" applyAlignment="1" applyProtection="1">
      <alignment horizontal="left"/>
      <protection locked="0"/>
    </xf>
    <xf numFmtId="164" fontId="4" fillId="2" borderId="0" xfId="2" applyFont="1" applyFill="1" applyProtection="1">
      <protection locked="0"/>
    </xf>
    <xf numFmtId="4" fontId="3" fillId="2" borderId="0" xfId="2" applyNumberFormat="1" applyFont="1" applyFill="1" applyProtection="1"/>
    <xf numFmtId="3" fontId="3" fillId="2" borderId="0" xfId="2" applyNumberFormat="1" applyFont="1" applyFill="1" applyProtection="1"/>
    <xf numFmtId="164" fontId="4" fillId="2" borderId="0" xfId="2" applyFont="1" applyFill="1" applyAlignment="1" applyProtection="1">
      <alignment horizontal="left"/>
      <protection locked="0"/>
    </xf>
    <xf numFmtId="164" fontId="3" fillId="2" borderId="0" xfId="2" applyFont="1" applyFill="1" applyAlignment="1" applyProtection="1">
      <alignment horizontal="fill"/>
    </xf>
    <xf numFmtId="164" fontId="3" fillId="2" borderId="0" xfId="2" applyFont="1" applyFill="1" applyAlignment="1" applyProtection="1">
      <alignment horizontal="right"/>
    </xf>
    <xf numFmtId="164" fontId="3" fillId="2" borderId="0" xfId="2" applyFont="1" applyFill="1" applyBorder="1" applyAlignment="1" applyProtection="1">
      <alignment horizontal="right"/>
    </xf>
    <xf numFmtId="164" fontId="3" fillId="2" borderId="2" xfId="2" applyFont="1" applyFill="1" applyBorder="1" applyAlignment="1" applyProtection="1">
      <alignment horizontal="right"/>
    </xf>
    <xf numFmtId="165" fontId="3" fillId="2" borderId="2" xfId="2" applyNumberFormat="1" applyFont="1" applyFill="1" applyBorder="1" applyAlignment="1" applyProtection="1">
      <alignment horizontal="right"/>
    </xf>
    <xf numFmtId="165" fontId="3" fillId="2" borderId="0" xfId="2" applyNumberFormat="1" applyFont="1" applyFill="1" applyAlignment="1" applyProtection="1">
      <alignment horizontal="right"/>
    </xf>
    <xf numFmtId="165" fontId="4" fillId="2" borderId="0" xfId="2" applyNumberFormat="1" applyFont="1" applyFill="1" applyProtection="1">
      <protection locked="0"/>
    </xf>
    <xf numFmtId="164" fontId="6" fillId="0" borderId="0" xfId="2" applyFont="1"/>
    <xf numFmtId="164" fontId="7" fillId="2" borderId="0" xfId="2" applyFont="1" applyFill="1"/>
    <xf numFmtId="164" fontId="8" fillId="2" borderId="0" xfId="2" applyFont="1" applyFill="1" applyAlignment="1" applyProtection="1">
      <alignment horizontal="left"/>
      <protection locked="0"/>
    </xf>
    <xf numFmtId="165" fontId="9" fillId="2" borderId="0" xfId="2" applyNumberFormat="1" applyFont="1" applyFill="1" applyProtection="1">
      <protection locked="0"/>
    </xf>
    <xf numFmtId="164" fontId="5" fillId="0" borderId="0" xfId="2" applyFont="1" applyAlignment="1" applyProtection="1">
      <alignment horizontal="left"/>
      <protection locked="0"/>
    </xf>
    <xf numFmtId="164" fontId="4" fillId="2" borderId="10" xfId="2" applyNumberFormat="1" applyFont="1" applyFill="1" applyBorder="1" applyAlignment="1" applyProtection="1">
      <alignment horizontal="fill"/>
      <protection locked="0"/>
    </xf>
    <xf numFmtId="164" fontId="3" fillId="2" borderId="10" xfId="2" applyNumberFormat="1" applyFont="1" applyFill="1" applyBorder="1" applyProtection="1"/>
    <xf numFmtId="164" fontId="3" fillId="2" borderId="10" xfId="2" applyFont="1" applyFill="1" applyBorder="1"/>
    <xf numFmtId="164" fontId="3" fillId="2" borderId="10" xfId="2" applyFont="1" applyFill="1" applyBorder="1" applyAlignment="1" applyProtection="1">
      <alignment horizontal="left"/>
    </xf>
    <xf numFmtId="164" fontId="4" fillId="2" borderId="0" xfId="2" applyNumberFormat="1" applyFont="1" applyFill="1" applyBorder="1" applyAlignment="1" applyProtection="1">
      <alignment horizontal="fill"/>
      <protection locked="0"/>
    </xf>
    <xf numFmtId="164" fontId="3" fillId="2" borderId="0" xfId="2" applyNumberFormat="1" applyFont="1" applyFill="1" applyProtection="1"/>
    <xf numFmtId="166" fontId="2" fillId="0" borderId="0" xfId="1" applyNumberFormat="1" applyFont="1" applyProtection="1"/>
    <xf numFmtId="164" fontId="4" fillId="2" borderId="0" xfId="2" applyNumberFormat="1" applyFont="1" applyFill="1" applyBorder="1" applyAlignment="1" applyProtection="1">
      <alignment horizontal="left"/>
      <protection locked="0"/>
    </xf>
    <xf numFmtId="164" fontId="3" fillId="2" borderId="0" xfId="2" applyNumberFormat="1" applyFont="1" applyFill="1" applyAlignment="1" applyProtection="1">
      <alignment horizontal="left"/>
    </xf>
    <xf numFmtId="164" fontId="4" fillId="2" borderId="0" xfId="2" applyFont="1" applyFill="1" applyBorder="1" applyAlignment="1" applyProtection="1">
      <alignment horizontal="fill"/>
      <protection locked="0"/>
    </xf>
    <xf numFmtId="164" fontId="2" fillId="0" borderId="10" xfId="2" applyFont="1" applyBorder="1"/>
    <xf numFmtId="164" fontId="5" fillId="0" borderId="10" xfId="2" applyFont="1" applyBorder="1" applyAlignment="1" applyProtection="1">
      <alignment horizontal="left"/>
      <protection locked="0"/>
    </xf>
    <xf numFmtId="164" fontId="3" fillId="2" borderId="10" xfId="2" applyFont="1" applyFill="1" applyBorder="1" applyAlignment="1" applyProtection="1">
      <alignment horizontal="fill"/>
    </xf>
    <xf numFmtId="10" fontId="3" fillId="2" borderId="10" xfId="2" applyNumberFormat="1" applyFont="1" applyFill="1" applyBorder="1" applyAlignment="1" applyProtection="1">
      <alignment horizontal="right"/>
      <protection locked="0"/>
    </xf>
    <xf numFmtId="2" fontId="3" fillId="2" borderId="10" xfId="2" applyNumberFormat="1" applyFont="1" applyFill="1" applyBorder="1" applyAlignment="1" applyProtection="1">
      <alignment horizontal="right"/>
      <protection locked="0"/>
    </xf>
    <xf numFmtId="164" fontId="3" fillId="2" borderId="10" xfId="2" quotePrefix="1" applyFont="1" applyFill="1" applyBorder="1" applyAlignment="1" applyProtection="1">
      <alignment horizontal="left"/>
    </xf>
    <xf numFmtId="10" fontId="3" fillId="2" borderId="0" xfId="2" applyNumberFormat="1" applyFont="1" applyFill="1" applyBorder="1" applyAlignment="1" applyProtection="1">
      <alignment horizontal="right"/>
      <protection locked="0"/>
    </xf>
    <xf numFmtId="2" fontId="3" fillId="2" borderId="0" xfId="2" applyNumberFormat="1" applyFont="1" applyFill="1" applyBorder="1" applyAlignment="1" applyProtection="1">
      <alignment horizontal="right"/>
      <protection locked="0"/>
    </xf>
    <xf numFmtId="10" fontId="3" fillId="2" borderId="2" xfId="2" applyNumberFormat="1" applyFont="1" applyFill="1" applyBorder="1" applyAlignment="1" applyProtection="1">
      <alignment horizontal="right"/>
      <protection locked="0"/>
    </xf>
    <xf numFmtId="4" fontId="3" fillId="2" borderId="2" xfId="2" applyNumberFormat="1" applyFont="1" applyFill="1" applyBorder="1" applyAlignment="1" applyProtection="1">
      <alignment horizontal="right"/>
      <protection locked="0"/>
    </xf>
    <xf numFmtId="4" fontId="3" fillId="2" borderId="2" xfId="2" applyNumberFormat="1" applyFont="1" applyFill="1" applyBorder="1" applyProtection="1"/>
    <xf numFmtId="164" fontId="3" fillId="2" borderId="2" xfId="2" applyNumberFormat="1" applyFont="1" applyFill="1" applyBorder="1" applyAlignment="1" applyProtection="1">
      <alignment horizontal="left"/>
    </xf>
    <xf numFmtId="164" fontId="3" fillId="2" borderId="2" xfId="2" quotePrefix="1" applyFont="1" applyFill="1" applyBorder="1" applyAlignment="1" applyProtection="1">
      <alignment horizontal="left"/>
    </xf>
    <xf numFmtId="4" fontId="3" fillId="2" borderId="0" xfId="2" applyNumberFormat="1" applyFont="1" applyFill="1" applyBorder="1" applyAlignment="1" applyProtection="1">
      <alignment horizontal="right"/>
      <protection locked="0"/>
    </xf>
    <xf numFmtId="4" fontId="3" fillId="2" borderId="0" xfId="2" applyNumberFormat="1" applyFont="1" applyFill="1" applyAlignment="1" applyProtection="1">
      <alignment horizontal="left"/>
    </xf>
    <xf numFmtId="10" fontId="3" fillId="2" borderId="0" xfId="2" applyNumberFormat="1" applyFont="1" applyFill="1" applyBorder="1" applyAlignment="1" applyProtection="1">
      <alignment horizontal="right"/>
    </xf>
    <xf numFmtId="4" fontId="3" fillId="2" borderId="0" xfId="2" applyNumberFormat="1" applyFont="1" applyFill="1" applyAlignment="1" applyProtection="1">
      <alignment horizontal="right"/>
    </xf>
    <xf numFmtId="10" fontId="3" fillId="2" borderId="11" xfId="2" applyNumberFormat="1" applyFont="1" applyFill="1" applyBorder="1" applyAlignment="1" applyProtection="1">
      <alignment horizontal="right"/>
      <protection locked="0"/>
    </xf>
    <xf numFmtId="4" fontId="3" fillId="2" borderId="11" xfId="2" applyNumberFormat="1" applyFont="1" applyFill="1" applyBorder="1" applyAlignment="1" applyProtection="1">
      <alignment horizontal="right"/>
      <protection locked="0"/>
    </xf>
    <xf numFmtId="4" fontId="3" fillId="2" borderId="11" xfId="2" applyNumberFormat="1" applyFont="1" applyFill="1" applyBorder="1" applyProtection="1"/>
    <xf numFmtId="167" fontId="4" fillId="2" borderId="0" xfId="2" applyNumberFormat="1" applyFont="1" applyFill="1" applyAlignment="1" applyProtection="1">
      <alignment horizontal="right"/>
      <protection locked="0"/>
    </xf>
    <xf numFmtId="2" fontId="4" fillId="2" borderId="0" xfId="2" applyNumberFormat="1" applyFont="1" applyFill="1" applyProtection="1">
      <protection locked="0"/>
    </xf>
    <xf numFmtId="164" fontId="3" fillId="2" borderId="0" xfId="2" applyFont="1" applyFill="1" applyAlignment="1">
      <alignment horizontal="left"/>
    </xf>
    <xf numFmtId="10" fontId="3" fillId="2" borderId="12" xfId="2" applyNumberFormat="1" applyFont="1" applyFill="1" applyBorder="1" applyAlignment="1" applyProtection="1">
      <alignment horizontal="right"/>
      <protection locked="0"/>
    </xf>
    <xf numFmtId="4" fontId="3" fillId="2" borderId="12" xfId="2" applyNumberFormat="1" applyFont="1" applyFill="1" applyBorder="1" applyAlignment="1" applyProtection="1">
      <alignment horizontal="right"/>
      <protection locked="0"/>
    </xf>
    <xf numFmtId="4" fontId="3" fillId="2" borderId="12" xfId="2" applyNumberFormat="1" applyFont="1" applyFill="1" applyBorder="1" applyProtection="1"/>
    <xf numFmtId="164" fontId="3" fillId="2" borderId="12" xfId="2" applyNumberFormat="1" applyFont="1" applyFill="1" applyBorder="1" applyAlignment="1" applyProtection="1">
      <alignment horizontal="left"/>
    </xf>
    <xf numFmtId="4" fontId="3" fillId="2" borderId="12" xfId="2" applyNumberFormat="1" applyFont="1" applyFill="1" applyBorder="1" applyAlignment="1" applyProtection="1">
      <alignment horizontal="left"/>
    </xf>
    <xf numFmtId="164" fontId="3" fillId="2" borderId="12" xfId="2" applyFont="1" applyFill="1" applyBorder="1" applyAlignment="1">
      <alignment horizontal="left"/>
    </xf>
    <xf numFmtId="164" fontId="3" fillId="2" borderId="12" xfId="2" applyFont="1" applyFill="1" applyBorder="1"/>
    <xf numFmtId="164" fontId="3" fillId="2" borderId="12" xfId="2" quotePrefix="1" applyFont="1" applyFill="1" applyBorder="1" applyAlignment="1" applyProtection="1">
      <alignment horizontal="left"/>
    </xf>
    <xf numFmtId="167" fontId="4" fillId="2" borderId="0" xfId="2" applyNumberFormat="1" applyFont="1" applyFill="1" applyAlignment="1" applyProtection="1">
      <protection locked="0"/>
    </xf>
    <xf numFmtId="164" fontId="4" fillId="2" borderId="0" xfId="2" applyNumberFormat="1" applyFont="1" applyFill="1" applyAlignment="1" applyProtection="1">
      <alignment horizontal="left"/>
      <protection locked="0"/>
    </xf>
    <xf numFmtId="164" fontId="3" fillId="2" borderId="0" xfId="4" applyFont="1" applyFill="1" applyAlignment="1" applyProtection="1">
      <alignment horizontal="left"/>
    </xf>
    <xf numFmtId="164" fontId="3" fillId="2" borderId="0" xfId="5" applyFont="1" applyFill="1" applyAlignment="1" applyProtection="1">
      <alignment horizontal="left"/>
    </xf>
    <xf numFmtId="2" fontId="3" fillId="2" borderId="0" xfId="2" applyNumberFormat="1" applyFont="1" applyFill="1" applyProtection="1">
      <protection locked="0"/>
    </xf>
    <xf numFmtId="2" fontId="3" fillId="2" borderId="0" xfId="2" applyNumberFormat="1" applyFont="1" applyFill="1" applyProtection="1"/>
    <xf numFmtId="4" fontId="3" fillId="2" borderId="0" xfId="3" applyNumberFormat="1" applyFont="1" applyFill="1" applyProtection="1"/>
    <xf numFmtId="164" fontId="2" fillId="0" borderId="0" xfId="3" applyFont="1"/>
    <xf numFmtId="164" fontId="5" fillId="0" borderId="0" xfId="3" applyFont="1" applyAlignment="1" applyProtection="1">
      <alignment horizontal="left"/>
      <protection locked="0"/>
    </xf>
    <xf numFmtId="4" fontId="4" fillId="2" borderId="0" xfId="3" applyNumberFormat="1" applyFont="1" applyFill="1" applyProtection="1">
      <protection locked="0"/>
    </xf>
    <xf numFmtId="2" fontId="3" fillId="2" borderId="0" xfId="2" applyNumberFormat="1" applyFont="1" applyFill="1"/>
    <xf numFmtId="2" fontId="3" fillId="2" borderId="0" xfId="2" applyNumberFormat="1" applyFont="1" applyFill="1" applyAlignment="1" applyProtection="1">
      <alignment horizontal="left"/>
    </xf>
    <xf numFmtId="10" fontId="3" fillId="2" borderId="0" xfId="2" applyNumberFormat="1" applyFont="1" applyFill="1" applyBorder="1" applyAlignment="1">
      <alignment horizontal="right"/>
    </xf>
    <xf numFmtId="4" fontId="3" fillId="2" borderId="0" xfId="2" applyNumberFormat="1" applyFont="1" applyFill="1"/>
    <xf numFmtId="164" fontId="3" fillId="2" borderId="2" xfId="2" applyFont="1" applyFill="1" applyBorder="1" applyAlignment="1" applyProtection="1">
      <alignment horizontal="center"/>
      <protection locked="0"/>
    </xf>
    <xf numFmtId="164" fontId="3" fillId="2" borderId="2" xfId="2" applyNumberFormat="1" applyFont="1" applyFill="1" applyBorder="1" applyAlignment="1" applyProtection="1">
      <alignment horizontal="right"/>
    </xf>
    <xf numFmtId="164" fontId="3" fillId="2" borderId="8" xfId="2" applyFont="1" applyFill="1" applyBorder="1" applyAlignment="1" applyProtection="1">
      <alignment horizontal="center"/>
      <protection locked="0"/>
    </xf>
    <xf numFmtId="164" fontId="3" fillId="2" borderId="8" xfId="2" quotePrefix="1" applyFont="1" applyFill="1" applyBorder="1" applyAlignment="1" applyProtection="1">
      <alignment horizontal="center"/>
      <protection locked="0"/>
    </xf>
    <xf numFmtId="164" fontId="3" fillId="2" borderId="0" xfId="2" applyNumberFormat="1" applyFont="1" applyFill="1" applyAlignment="1" applyProtection="1">
      <alignment horizontal="right"/>
    </xf>
    <xf numFmtId="164" fontId="9" fillId="2" borderId="2" xfId="2" applyFont="1" applyFill="1" applyBorder="1" applyAlignment="1" applyProtection="1">
      <alignment horizontal="left"/>
      <protection locked="0"/>
    </xf>
    <xf numFmtId="0" fontId="7" fillId="2" borderId="2" xfId="2" applyNumberFormat="1" applyFont="1" applyFill="1" applyBorder="1" applyAlignment="1" applyProtection="1">
      <alignment horizontal="right"/>
    </xf>
    <xf numFmtId="168" fontId="9" fillId="2" borderId="2" xfId="2" applyNumberFormat="1" applyFont="1" applyFill="1" applyBorder="1" applyProtection="1">
      <protection locked="0"/>
    </xf>
    <xf numFmtId="0" fontId="3" fillId="2" borderId="0" xfId="0" applyFont="1" applyFill="1" applyBorder="1"/>
    <xf numFmtId="164" fontId="3" fillId="2" borderId="0" xfId="3" applyFont="1" applyFill="1" applyBorder="1"/>
    <xf numFmtId="0" fontId="9" fillId="2" borderId="0" xfId="2" applyNumberFormat="1" applyFont="1" applyFill="1" applyAlignment="1" applyProtection="1">
      <alignment horizontal="right"/>
      <protection locked="0"/>
    </xf>
    <xf numFmtId="1" fontId="9" fillId="2" borderId="0" xfId="2" applyNumberFormat="1" applyFont="1" applyFill="1" applyProtection="1">
      <protection locked="0"/>
    </xf>
    <xf numFmtId="0" fontId="3" fillId="2" borderId="0" xfId="0" applyFont="1" applyFill="1"/>
    <xf numFmtId="164" fontId="3" fillId="2" borderId="0" xfId="3" applyFont="1" applyFill="1" applyAlignment="1">
      <alignment horizontal="right"/>
    </xf>
    <xf numFmtId="164" fontId="3" fillId="0" borderId="0" xfId="3" applyFont="1"/>
    <xf numFmtId="2" fontId="7" fillId="2" borderId="0" xfId="2" applyNumberFormat="1" applyFont="1" applyFill="1" applyAlignment="1" applyProtection="1">
      <alignment horizontal="right"/>
      <protection locked="0"/>
    </xf>
    <xf numFmtId="164" fontId="2" fillId="0" borderId="0" xfId="4" applyFont="1"/>
    <xf numFmtId="165" fontId="2" fillId="0" borderId="0" xfId="2" applyNumberFormat="1" applyFont="1"/>
    <xf numFmtId="0" fontId="3" fillId="2" borderId="0" xfId="0" quotePrefix="1" applyFont="1" applyFill="1"/>
    <xf numFmtId="0" fontId="2" fillId="2" borderId="0" xfId="0" applyFont="1" applyFill="1"/>
    <xf numFmtId="2" fontId="9" fillId="2" borderId="0" xfId="2" applyNumberFormat="1" applyFont="1" applyFill="1" applyProtection="1">
      <protection locked="0"/>
    </xf>
    <xf numFmtId="0" fontId="9" fillId="2" borderId="0" xfId="2" applyNumberFormat="1" applyFont="1" applyFill="1" applyProtection="1">
      <protection locked="0"/>
    </xf>
    <xf numFmtId="164" fontId="9" fillId="2" borderId="0" xfId="2" applyFont="1" applyFill="1" applyAlignment="1" applyProtection="1">
      <alignment horizontal="left"/>
      <protection locked="0"/>
    </xf>
    <xf numFmtId="164" fontId="4" fillId="0" borderId="0" xfId="2" applyFont="1" applyAlignment="1" applyProtection="1">
      <alignment horizontal="left"/>
      <protection locked="0"/>
    </xf>
    <xf numFmtId="164" fontId="2" fillId="0" borderId="0" xfId="2" applyFont="1" applyAlignment="1" applyProtection="1">
      <alignment horizontal="right"/>
    </xf>
    <xf numFmtId="164" fontId="3" fillId="0" borderId="0" xfId="2" applyFont="1"/>
    <xf numFmtId="164" fontId="11" fillId="0" borderId="0" xfId="2" applyFont="1" applyAlignment="1" applyProtection="1">
      <alignment horizontal="left"/>
    </xf>
    <xf numFmtId="164" fontId="4" fillId="0" borderId="0" xfId="2" applyNumberFormat="1" applyFont="1" applyAlignment="1" applyProtection="1">
      <alignment horizontal="left"/>
      <protection locked="0"/>
    </xf>
    <xf numFmtId="164" fontId="2" fillId="0" borderId="0" xfId="2" applyFont="1" applyAlignment="1" applyProtection="1">
      <alignment horizontal="fill"/>
    </xf>
    <xf numFmtId="164" fontId="3" fillId="2" borderId="0" xfId="2" applyFont="1" applyFill="1" applyAlignment="1" applyProtection="1">
      <alignment horizontal="left"/>
      <protection locked="0"/>
    </xf>
    <xf numFmtId="3" fontId="3" fillId="2" borderId="0" xfId="2" applyNumberFormat="1" applyFont="1" applyFill="1" applyProtection="1">
      <protection locked="0"/>
    </xf>
    <xf numFmtId="164" fontId="3" fillId="2" borderId="0" xfId="2" applyFont="1" applyFill="1" applyProtection="1">
      <protection locked="0"/>
    </xf>
    <xf numFmtId="164" fontId="3" fillId="2" borderId="0" xfId="2" applyFont="1" applyFill="1" applyBorder="1" applyAlignment="1" applyProtection="1">
      <alignment horizontal="left"/>
      <protection locked="0"/>
    </xf>
    <xf numFmtId="3" fontId="3" fillId="2" borderId="0" xfId="2" applyNumberFormat="1" applyFont="1" applyFill="1" applyBorder="1" applyAlignment="1" applyProtection="1">
      <alignment horizontal="right"/>
      <protection locked="0"/>
    </xf>
    <xf numFmtId="164" fontId="3" fillId="2" borderId="0" xfId="2" applyFont="1" applyFill="1" applyBorder="1" applyProtection="1">
      <protection locked="0"/>
    </xf>
    <xf numFmtId="164" fontId="3" fillId="2" borderId="10" xfId="2" applyFont="1" applyFill="1" applyBorder="1" applyAlignment="1" applyProtection="1">
      <alignment horizontal="left"/>
      <protection locked="0"/>
    </xf>
    <xf numFmtId="3" fontId="3" fillId="2" borderId="10" xfId="2" applyNumberFormat="1" applyFont="1" applyFill="1" applyBorder="1" applyAlignment="1" applyProtection="1">
      <alignment horizontal="right"/>
      <protection locked="0"/>
    </xf>
    <xf numFmtId="164" fontId="3" fillId="2" borderId="10" xfId="2" applyFont="1" applyFill="1" applyBorder="1" applyProtection="1">
      <protection locked="0"/>
    </xf>
    <xf numFmtId="164" fontId="2" fillId="0" borderId="0" xfId="2" applyFont="1" applyProtection="1">
      <protection locked="0"/>
    </xf>
    <xf numFmtId="164" fontId="2" fillId="0" borderId="0" xfId="2" applyFont="1" applyBorder="1" applyProtection="1">
      <protection locked="0"/>
    </xf>
    <xf numFmtId="4" fontId="3" fillId="2" borderId="0" xfId="2" applyNumberFormat="1" applyFont="1" applyFill="1" applyProtection="1">
      <protection locked="0"/>
    </xf>
    <xf numFmtId="164" fontId="10" fillId="0" borderId="0" xfId="3" applyFont="1" applyProtection="1">
      <protection locked="0"/>
    </xf>
    <xf numFmtId="169" fontId="10" fillId="2" borderId="0" xfId="3" applyNumberFormat="1" applyFont="1" applyFill="1" applyProtection="1">
      <protection locked="0"/>
    </xf>
    <xf numFmtId="169" fontId="10" fillId="2" borderId="0" xfId="3" applyNumberFormat="1" applyFont="1" applyFill="1" applyBorder="1" applyProtection="1">
      <protection locked="0"/>
    </xf>
    <xf numFmtId="2" fontId="12" fillId="2" borderId="0" xfId="2" applyNumberFormat="1" applyFont="1" applyFill="1" applyProtection="1">
      <protection locked="0"/>
    </xf>
  </cellXfs>
  <cellStyles count="6">
    <cellStyle name="Comma" xfId="1" builtinId="3"/>
    <cellStyle name="Normal" xfId="0" builtinId="0"/>
    <cellStyle name="Normal_FLSTKGLC2000-2001" xfId="2"/>
    <cellStyle name="Normal_FLSTKGZL2000-2001" xfId="3"/>
    <cellStyle name="Normal_FLSTKGZMFESCUE2000blackbelt111300" xfId="4"/>
    <cellStyle name="Normal_FLSTKLIT2000-2001" xfId="5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257693</xdr:colOff>
      <xdr:row>1</xdr:row>
      <xdr:rowOff>74666</xdr:rowOff>
    </xdr:from>
    <xdr:ext cx="5990707" cy="2211334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743" y="236591"/>
          <a:ext cx="5990707" cy="221133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g.auburn.edu/Documents%20and%20Settings/User/My%20Documents/Davis,%20MA/Buds2002/FalForage02/fal%20forage%202002-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revajw/Desktop/Fall%20Forage%20Budget%202009-2010%20%2007%2029%2009%20%20%20V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Est02"/>
      <sheetName val="FesGrz02"/>
      <sheetName val="StkPilFes02"/>
      <sheetName val="FesHay02"/>
      <sheetName val="OverSdPP02"/>
      <sheetName val="WAPG02"/>
      <sheetName val="WHET02"/>
      <sheetName val="WHTSIL02"/>
      <sheetName val="Data Request"/>
      <sheetName val="Sheet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Estab09"/>
      <sheetName val="FesGrz09"/>
      <sheetName val="StkPilFes09"/>
      <sheetName val="FesHay09"/>
      <sheetName val="OverSdPP09"/>
      <sheetName val="WAPG09"/>
      <sheetName val="WHET09"/>
      <sheetName val="ForageMach09  PRT"/>
      <sheetName val="Sheet4"/>
      <sheetName val="Data Request 2009"/>
      <sheetName val="Data Request 2008"/>
      <sheetName val="WHTSIL07"/>
      <sheetName val="Data Request 2007"/>
      <sheetName val="Data Request 2006"/>
      <sheetName val="Data Request 2005"/>
      <sheetName val="Data Request 2004"/>
      <sheetName val="Sheet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AD172"/>
  <sheetViews>
    <sheetView showGridLines="0" tabSelected="1" zoomScale="75" zoomScaleNormal="75" zoomScaleSheetLayoutView="75" workbookViewId="0">
      <selection activeCell="F38" sqref="F38"/>
    </sheetView>
  </sheetViews>
  <sheetFormatPr defaultColWidth="11.6640625" defaultRowHeight="13.2" x14ac:dyDescent="0.25"/>
  <cols>
    <col min="1" max="1" width="11.33203125" style="1" customWidth="1"/>
    <col min="2" max="2" width="27.5546875" style="1" customWidth="1"/>
    <col min="3" max="3" width="9.5546875" style="1" customWidth="1"/>
    <col min="4" max="4" width="28.109375" style="1" customWidth="1"/>
    <col min="5" max="6" width="18.109375" style="1" customWidth="1"/>
    <col min="7" max="7" width="19.109375" style="1" customWidth="1"/>
    <col min="8" max="8" width="19.44140625" style="1" customWidth="1"/>
    <col min="9" max="9" width="13.88671875" style="1" customWidth="1"/>
    <col min="10" max="10" width="9.5546875" style="1" customWidth="1"/>
    <col min="11" max="11" width="8.6640625" style="1" customWidth="1"/>
    <col min="12" max="12" width="8.109375" style="1" customWidth="1"/>
    <col min="13" max="13" width="6.44140625" style="1" customWidth="1"/>
    <col min="14" max="14" width="8.6640625" style="1" customWidth="1"/>
    <col min="15" max="15" width="7.5546875" style="1" customWidth="1"/>
    <col min="16" max="20" width="9.88671875" style="1" customWidth="1"/>
    <col min="21" max="21" width="12.109375" style="1" customWidth="1"/>
    <col min="22" max="22" width="8.6640625" style="1" customWidth="1"/>
    <col min="23" max="26" width="11.6640625" style="1" customWidth="1"/>
    <col min="27" max="27" width="12.109375" style="1" customWidth="1"/>
    <col min="28" max="16384" width="11.6640625" style="1"/>
  </cols>
  <sheetData>
    <row r="1" spans="1:13" x14ac:dyDescent="0.25">
      <c r="A1" s="148"/>
      <c r="B1" s="152"/>
      <c r="L1" s="24"/>
      <c r="M1" s="24"/>
    </row>
    <row r="2" spans="1:13" x14ac:dyDescent="0.25">
      <c r="A2" s="148"/>
    </row>
    <row r="3" spans="1:13" x14ac:dyDescent="0.25">
      <c r="A3" s="148"/>
      <c r="B3" s="152"/>
      <c r="L3" s="24"/>
      <c r="M3" s="24"/>
    </row>
    <row r="4" spans="1:13" ht="15" x14ac:dyDescent="0.25">
      <c r="A4" s="148"/>
      <c r="B4" s="147"/>
      <c r="C4" s="149"/>
      <c r="D4" s="149"/>
      <c r="E4" s="149"/>
      <c r="F4" s="149"/>
      <c r="K4" s="24"/>
      <c r="M4" s="24"/>
    </row>
    <row r="5" spans="1:13" ht="15" x14ac:dyDescent="0.25">
      <c r="A5" s="148"/>
      <c r="B5" s="147"/>
      <c r="C5" s="149"/>
      <c r="D5" s="149"/>
      <c r="E5" s="149"/>
      <c r="F5" s="149"/>
      <c r="K5" s="24"/>
      <c r="M5" s="24"/>
    </row>
    <row r="6" spans="1:13" ht="15" x14ac:dyDescent="0.25">
      <c r="A6" s="148"/>
      <c r="B6" s="147"/>
      <c r="C6" s="149"/>
      <c r="D6" s="149"/>
      <c r="E6" s="149"/>
      <c r="F6" s="149"/>
      <c r="M6" s="24"/>
    </row>
    <row r="7" spans="1:13" ht="15" x14ac:dyDescent="0.25">
      <c r="A7" s="148"/>
      <c r="B7" s="147"/>
      <c r="C7" s="149"/>
      <c r="D7" s="149"/>
      <c r="E7" s="149"/>
      <c r="F7" s="149"/>
    </row>
    <row r="8" spans="1:13" ht="15" x14ac:dyDescent="0.25">
      <c r="A8" s="148"/>
      <c r="B8" s="147"/>
      <c r="C8" s="149"/>
      <c r="D8" s="149"/>
      <c r="E8" s="149"/>
      <c r="F8" s="149"/>
    </row>
    <row r="9" spans="1:13" ht="15" x14ac:dyDescent="0.25">
      <c r="A9" s="148"/>
      <c r="B9" s="147"/>
      <c r="C9" s="149"/>
      <c r="D9" s="149"/>
      <c r="E9" s="149"/>
      <c r="F9" s="149"/>
    </row>
    <row r="10" spans="1:13" ht="15" x14ac:dyDescent="0.25">
      <c r="A10" s="148"/>
      <c r="B10" s="147"/>
      <c r="C10" s="149"/>
      <c r="D10" s="149"/>
      <c r="E10" s="149"/>
      <c r="F10" s="149"/>
      <c r="M10" s="24"/>
    </row>
    <row r="11" spans="1:13" ht="15" x14ac:dyDescent="0.25">
      <c r="A11" s="148"/>
      <c r="B11" s="147"/>
      <c r="C11" s="149"/>
      <c r="D11" s="149"/>
      <c r="E11" s="149"/>
      <c r="F11" s="151"/>
    </row>
    <row r="12" spans="1:13" ht="15" x14ac:dyDescent="0.25">
      <c r="A12" s="148"/>
      <c r="C12" s="149"/>
      <c r="D12" s="149"/>
      <c r="E12" s="149"/>
      <c r="F12" s="149"/>
      <c r="M12" s="24"/>
    </row>
    <row r="13" spans="1:13" ht="15" x14ac:dyDescent="0.25">
      <c r="A13" s="148"/>
      <c r="B13" s="147"/>
      <c r="C13" s="149"/>
      <c r="D13" s="149"/>
      <c r="E13" s="149"/>
      <c r="F13" s="149"/>
    </row>
    <row r="14" spans="1:13" ht="33" x14ac:dyDescent="0.6">
      <c r="A14" s="150" t="s">
        <v>128</v>
      </c>
      <c r="C14" s="149"/>
      <c r="D14" s="149"/>
      <c r="E14" s="149"/>
      <c r="F14" s="149"/>
      <c r="M14" s="117" t="s">
        <v>127</v>
      </c>
    </row>
    <row r="15" spans="1:13" ht="15" x14ac:dyDescent="0.25">
      <c r="A15" s="148"/>
      <c r="B15" s="147"/>
      <c r="C15" s="149"/>
      <c r="D15" s="149"/>
      <c r="E15" s="149"/>
      <c r="F15" s="149"/>
    </row>
    <row r="16" spans="1:13" x14ac:dyDescent="0.25">
      <c r="A16" s="148"/>
      <c r="B16" s="24"/>
      <c r="M16" s="24"/>
    </row>
    <row r="17" spans="1:17" ht="15" x14ac:dyDescent="0.25">
      <c r="A17" s="148"/>
      <c r="B17" s="147" t="s">
        <v>126</v>
      </c>
    </row>
    <row r="18" spans="1:17" s="64" customFormat="1" ht="15.6" x14ac:dyDescent="0.3">
      <c r="A18" s="67">
        <v>60</v>
      </c>
      <c r="B18" s="146" t="s">
        <v>125</v>
      </c>
      <c r="C18" s="65"/>
      <c r="D18" s="65"/>
      <c r="E18" s="65"/>
      <c r="F18" s="65"/>
      <c r="G18" s="65"/>
      <c r="H18" s="65"/>
      <c r="I18" s="65"/>
    </row>
    <row r="19" spans="1:17" ht="15" x14ac:dyDescent="0.25">
      <c r="A19" s="3"/>
      <c r="B19" s="35" t="s">
        <v>124</v>
      </c>
      <c r="C19" s="3"/>
      <c r="D19" s="3"/>
      <c r="E19" s="3"/>
      <c r="F19" s="3"/>
      <c r="G19" s="3"/>
      <c r="H19" s="3"/>
      <c r="I19" s="3"/>
      <c r="M19" s="24"/>
    </row>
    <row r="20" spans="1:17" ht="15.6" x14ac:dyDescent="0.3">
      <c r="A20" s="145">
        <v>400</v>
      </c>
      <c r="B20" s="35" t="s">
        <v>123</v>
      </c>
      <c r="C20" s="2"/>
      <c r="D20" s="2"/>
      <c r="E20" s="3"/>
      <c r="F20" s="3"/>
      <c r="G20" s="3"/>
      <c r="H20" s="2"/>
      <c r="I20" s="2"/>
    </row>
    <row r="21" spans="1:17" ht="15.6" x14ac:dyDescent="0.3">
      <c r="A21" s="144">
        <v>2.6</v>
      </c>
      <c r="B21" s="35" t="s">
        <v>122</v>
      </c>
      <c r="C21" s="144">
        <v>2</v>
      </c>
      <c r="D21" s="35" t="s">
        <v>121</v>
      </c>
      <c r="E21" s="3"/>
      <c r="F21" s="3"/>
      <c r="G21" s="137" t="s">
        <v>114</v>
      </c>
      <c r="H21" s="4" t="s">
        <v>120</v>
      </c>
      <c r="I21" s="143"/>
    </row>
    <row r="22" spans="1:17" ht="15.6" x14ac:dyDescent="0.3">
      <c r="A22" s="135">
        <v>800</v>
      </c>
      <c r="B22" s="35" t="s">
        <v>119</v>
      </c>
      <c r="C22" s="134">
        <v>200</v>
      </c>
      <c r="D22" s="35" t="s">
        <v>118</v>
      </c>
      <c r="E22" s="3"/>
      <c r="F22" s="3"/>
      <c r="G22" s="137"/>
      <c r="H22" s="166">
        <v>143</v>
      </c>
      <c r="I22" s="142" t="s">
        <v>111</v>
      </c>
      <c r="M22" s="68"/>
      <c r="P22" s="141">
        <f>E33*C33</f>
        <v>532.17999999999995</v>
      </c>
      <c r="Q22" s="140" t="s">
        <v>117</v>
      </c>
    </row>
    <row r="23" spans="1:17" ht="15.6" x14ac:dyDescent="0.3">
      <c r="A23" s="139">
        <f>L27</f>
        <v>2</v>
      </c>
      <c r="B23" s="35" t="s">
        <v>116</v>
      </c>
      <c r="C23" s="165">
        <v>14</v>
      </c>
      <c r="D23" s="138" t="s">
        <v>115</v>
      </c>
      <c r="E23" s="3"/>
      <c r="F23" s="3"/>
      <c r="G23" s="137" t="s">
        <v>114</v>
      </c>
      <c r="H23" s="4" t="s">
        <v>113</v>
      </c>
      <c r="I23" s="136"/>
      <c r="M23" s="68"/>
    </row>
    <row r="24" spans="1:17" ht="15.6" x14ac:dyDescent="0.3">
      <c r="A24" s="135">
        <v>175</v>
      </c>
      <c r="B24" s="36" t="s">
        <v>129</v>
      </c>
      <c r="C24" s="134">
        <v>8</v>
      </c>
      <c r="D24" s="35" t="s">
        <v>112</v>
      </c>
      <c r="E24" s="3"/>
      <c r="F24" s="3"/>
      <c r="G24" s="133"/>
      <c r="H24" s="167">
        <v>-12</v>
      </c>
      <c r="I24" s="132" t="s">
        <v>111</v>
      </c>
      <c r="M24" s="68"/>
    </row>
    <row r="25" spans="1:17" ht="15.6" x14ac:dyDescent="0.3">
      <c r="A25" s="131"/>
      <c r="B25" s="91"/>
      <c r="C25" s="130">
        <f>TRUNC(0.5+(A20+(C22*A21))*0.98)</f>
        <v>902</v>
      </c>
      <c r="D25" s="11" t="s">
        <v>110</v>
      </c>
      <c r="E25" s="10"/>
      <c r="F25" s="10"/>
      <c r="G25" s="10"/>
      <c r="H25" s="10"/>
      <c r="I25" s="10"/>
      <c r="L25" s="1">
        <f>A22</f>
        <v>800</v>
      </c>
      <c r="M25" s="68" t="s">
        <v>109</v>
      </c>
    </row>
    <row r="26" spans="1:17" ht="15" x14ac:dyDescent="0.25">
      <c r="A26" s="57"/>
      <c r="B26" s="3"/>
      <c r="C26" s="2"/>
      <c r="D26" s="2"/>
      <c r="E26" s="3"/>
      <c r="F26" s="3"/>
      <c r="G26" s="3"/>
      <c r="H26" s="3"/>
      <c r="I26" s="3"/>
      <c r="J26" s="68" t="s">
        <v>30</v>
      </c>
      <c r="L26" s="1">
        <f>A20</f>
        <v>400</v>
      </c>
      <c r="M26" s="1" t="s">
        <v>108</v>
      </c>
    </row>
    <row r="27" spans="1:17" ht="15.6" x14ac:dyDescent="0.3">
      <c r="A27" s="129" t="s">
        <v>107</v>
      </c>
      <c r="B27" s="10"/>
      <c r="C27" s="10"/>
      <c r="D27" s="10"/>
      <c r="E27" s="10"/>
      <c r="F27" s="10"/>
      <c r="G27" s="10"/>
      <c r="H27" s="8"/>
      <c r="I27" s="8"/>
      <c r="J27" s="68" t="s">
        <v>30</v>
      </c>
      <c r="L27" s="1">
        <f>L25/L26</f>
        <v>2</v>
      </c>
      <c r="M27" s="1" t="s">
        <v>106</v>
      </c>
    </row>
    <row r="28" spans="1:17" ht="15" x14ac:dyDescent="0.25">
      <c r="A28" s="3"/>
      <c r="B28" s="3"/>
      <c r="C28" s="128" t="s">
        <v>105</v>
      </c>
      <c r="D28" s="20" t="s">
        <v>104</v>
      </c>
      <c r="E28" s="128" t="s">
        <v>103</v>
      </c>
      <c r="F28" s="77" t="s">
        <v>102</v>
      </c>
      <c r="G28" s="58" t="s">
        <v>96</v>
      </c>
      <c r="H28" s="127" t="s">
        <v>101</v>
      </c>
      <c r="I28" s="126" t="s">
        <v>100</v>
      </c>
      <c r="J28" s="68" t="s">
        <v>30</v>
      </c>
      <c r="M28" s="68"/>
    </row>
    <row r="29" spans="1:17" ht="15" x14ac:dyDescent="0.25">
      <c r="A29" s="10"/>
      <c r="B29" s="11" t="s">
        <v>39</v>
      </c>
      <c r="C29" s="125"/>
      <c r="D29" s="10"/>
      <c r="E29" s="10"/>
      <c r="F29" s="90" t="s">
        <v>99</v>
      </c>
      <c r="G29" s="60" t="s">
        <v>98</v>
      </c>
      <c r="H29" s="124" t="s">
        <v>97</v>
      </c>
      <c r="I29" s="124" t="s">
        <v>96</v>
      </c>
      <c r="J29" s="68" t="s">
        <v>30</v>
      </c>
      <c r="M29" s="68"/>
    </row>
    <row r="30" spans="1:17" ht="15" x14ac:dyDescent="0.25">
      <c r="A30" s="57"/>
      <c r="B30" s="3"/>
      <c r="C30" s="3"/>
      <c r="D30" s="3"/>
      <c r="E30" s="3"/>
      <c r="F30" s="3"/>
      <c r="G30" s="3"/>
      <c r="H30" s="8"/>
      <c r="I30" s="8"/>
      <c r="J30" s="68" t="s">
        <v>30</v>
      </c>
      <c r="M30" s="68"/>
    </row>
    <row r="31" spans="1:17" ht="15" x14ac:dyDescent="0.25">
      <c r="A31" s="3"/>
      <c r="B31" s="3"/>
      <c r="C31" s="3"/>
      <c r="D31" s="17"/>
      <c r="E31" s="3"/>
      <c r="F31" s="3"/>
      <c r="G31" s="3"/>
      <c r="H31" s="8"/>
      <c r="I31" s="8"/>
      <c r="J31" s="68" t="s">
        <v>30</v>
      </c>
      <c r="M31" s="68"/>
    </row>
    <row r="32" spans="1:17" ht="15" x14ac:dyDescent="0.25">
      <c r="A32" s="36" t="s">
        <v>95</v>
      </c>
      <c r="B32" s="3"/>
      <c r="C32" s="3"/>
      <c r="D32" s="17"/>
      <c r="E32" s="2"/>
      <c r="F32" s="3"/>
      <c r="G32" s="3"/>
      <c r="H32" s="8"/>
      <c r="I32" s="8"/>
      <c r="J32" s="68" t="s">
        <v>30</v>
      </c>
      <c r="M32" s="68"/>
    </row>
    <row r="33" spans="1:13" ht="15" x14ac:dyDescent="0.25">
      <c r="A33" s="35" t="s">
        <v>94</v>
      </c>
      <c r="B33" s="3"/>
      <c r="C33" s="115">
        <f>TRUNC(0.5+(A18*(1-(C21/100))))</f>
        <v>59</v>
      </c>
      <c r="D33" s="35" t="s">
        <v>89</v>
      </c>
      <c r="E33" s="54">
        <f>C25/100</f>
        <v>9.02</v>
      </c>
      <c r="F33" s="114">
        <f>H22+H24</f>
        <v>131</v>
      </c>
      <c r="G33" s="54">
        <f>E33*F33*C33</f>
        <v>69715.579999999987</v>
      </c>
      <c r="H33" s="92">
        <f>G33/$C$33</f>
        <v>1181.6199999999999</v>
      </c>
      <c r="I33" s="85">
        <f>H33/H33</f>
        <v>1</v>
      </c>
      <c r="J33" s="68" t="s">
        <v>30</v>
      </c>
      <c r="L33" s="24"/>
      <c r="M33" s="24"/>
    </row>
    <row r="34" spans="1:13" ht="15" x14ac:dyDescent="0.25">
      <c r="A34" s="3"/>
      <c r="B34" s="3"/>
      <c r="C34" s="3"/>
      <c r="D34" s="101"/>
      <c r="E34" s="123"/>
      <c r="F34" s="120"/>
      <c r="G34" s="123"/>
      <c r="H34" s="92"/>
      <c r="I34" s="122"/>
      <c r="J34" s="68" t="s">
        <v>30</v>
      </c>
      <c r="M34" s="24"/>
    </row>
    <row r="35" spans="1:13" ht="15" x14ac:dyDescent="0.25">
      <c r="A35" s="36" t="s">
        <v>93</v>
      </c>
      <c r="B35" s="3"/>
      <c r="C35" s="3"/>
      <c r="D35" s="101"/>
      <c r="E35" s="93" t="s">
        <v>30</v>
      </c>
      <c r="F35" s="121" t="s">
        <v>30</v>
      </c>
      <c r="G35" s="93" t="s">
        <v>30</v>
      </c>
      <c r="H35" s="92"/>
      <c r="I35" s="85"/>
      <c r="J35" s="68" t="s">
        <v>30</v>
      </c>
      <c r="M35" s="24"/>
    </row>
    <row r="36" spans="1:13" ht="15" x14ac:dyDescent="0.25">
      <c r="A36" s="35" t="s">
        <v>92</v>
      </c>
      <c r="B36" s="3"/>
      <c r="C36" s="120">
        <f>A18</f>
        <v>60</v>
      </c>
      <c r="D36" s="35" t="s">
        <v>89</v>
      </c>
      <c r="E36" s="54">
        <f>A20/100</f>
        <v>4</v>
      </c>
      <c r="F36" s="100">
        <v>168</v>
      </c>
      <c r="G36" s="54">
        <f>C36*F36*E36</f>
        <v>40320</v>
      </c>
      <c r="H36" s="92">
        <f t="shared" ref="H36:H48" si="0">G36/$C$33</f>
        <v>683.38983050847457</v>
      </c>
      <c r="I36" s="85">
        <f t="shared" ref="I36:I48" si="1">H36/$H$63</f>
        <v>0.60716665295642558</v>
      </c>
      <c r="J36" s="68" t="s">
        <v>30</v>
      </c>
    </row>
    <row r="37" spans="1:13" ht="15" x14ac:dyDescent="0.25">
      <c r="A37" s="35" t="s">
        <v>91</v>
      </c>
      <c r="B37" s="3"/>
      <c r="C37" s="3"/>
      <c r="D37" s="35" t="s">
        <v>70</v>
      </c>
      <c r="E37" s="54">
        <f>TRUNC(0.5+(A18/A23))</f>
        <v>30</v>
      </c>
      <c r="F37" s="100">
        <v>143</v>
      </c>
      <c r="G37" s="54">
        <f t="shared" ref="G37:G46" si="2">F37*E37</f>
        <v>4290</v>
      </c>
      <c r="H37" s="92">
        <f t="shared" si="0"/>
        <v>72.711864406779668</v>
      </c>
      <c r="I37" s="85">
        <f t="shared" si="1"/>
        <v>6.4601809057119694E-2</v>
      </c>
      <c r="J37" s="68" t="s">
        <v>30</v>
      </c>
    </row>
    <row r="38" spans="1:13" s="117" customFormat="1" ht="15" x14ac:dyDescent="0.25">
      <c r="A38" s="40" t="s">
        <v>90</v>
      </c>
      <c r="B38" s="4"/>
      <c r="C38" s="4"/>
      <c r="D38" s="40" t="s">
        <v>89</v>
      </c>
      <c r="E38" s="116">
        <f>3*C22*A18/16/100</f>
        <v>22.5</v>
      </c>
      <c r="F38" s="119">
        <v>30</v>
      </c>
      <c r="G38" s="116">
        <f t="shared" si="2"/>
        <v>675</v>
      </c>
      <c r="H38" s="92">
        <f t="shared" si="0"/>
        <v>11.440677966101696</v>
      </c>
      <c r="I38" s="85">
        <f t="shared" si="1"/>
        <v>1.0164620306190161E-2</v>
      </c>
      <c r="J38" s="118" t="s">
        <v>30</v>
      </c>
    </row>
    <row r="39" spans="1:13" ht="15" x14ac:dyDescent="0.25">
      <c r="A39" s="40" t="s">
        <v>88</v>
      </c>
      <c r="B39" s="3"/>
      <c r="C39" s="3"/>
      <c r="D39" s="35" t="s">
        <v>86</v>
      </c>
      <c r="E39" s="116">
        <f>(5*C23*A18)/2000</f>
        <v>2.1</v>
      </c>
      <c r="F39" s="168">
        <v>250</v>
      </c>
      <c r="G39" s="54">
        <f t="shared" si="2"/>
        <v>525</v>
      </c>
      <c r="H39" s="92">
        <f t="shared" si="0"/>
        <v>8.898305084745763</v>
      </c>
      <c r="I39" s="85">
        <f t="shared" si="1"/>
        <v>7.9058157937034589E-3</v>
      </c>
      <c r="J39" s="68" t="s">
        <v>30</v>
      </c>
      <c r="K39" s="162"/>
    </row>
    <row r="40" spans="1:13" ht="15" x14ac:dyDescent="0.25">
      <c r="A40" s="113" t="s">
        <v>130</v>
      </c>
      <c r="B40" s="3"/>
      <c r="C40" s="3"/>
      <c r="D40" s="35" t="s">
        <v>86</v>
      </c>
      <c r="E40" s="54">
        <f>(((A18+C33)/2)*C24*C22)/2000</f>
        <v>47.6</v>
      </c>
      <c r="F40" s="168">
        <f>A24</f>
        <v>175</v>
      </c>
      <c r="G40" s="54">
        <f t="shared" si="2"/>
        <v>8330</v>
      </c>
      <c r="H40" s="92">
        <f t="shared" si="0"/>
        <v>141.18644067796609</v>
      </c>
      <c r="I40" s="85">
        <f t="shared" si="1"/>
        <v>0.12543894392676153</v>
      </c>
      <c r="J40" s="68" t="s">
        <v>30</v>
      </c>
    </row>
    <row r="41" spans="1:13" ht="15" x14ac:dyDescent="0.25">
      <c r="A41" s="113" t="s">
        <v>87</v>
      </c>
      <c r="B41" s="3"/>
      <c r="C41" s="3"/>
      <c r="D41" s="35" t="s">
        <v>86</v>
      </c>
      <c r="E41" s="54">
        <f>(((A18+C33)/2)*C22)/2000</f>
        <v>5.95</v>
      </c>
      <c r="F41" s="115">
        <v>175</v>
      </c>
      <c r="G41" s="54">
        <f t="shared" si="2"/>
        <v>1041.25</v>
      </c>
      <c r="H41" s="92">
        <f t="shared" si="0"/>
        <v>17.648305084745761</v>
      </c>
      <c r="I41" s="85">
        <f t="shared" si="1"/>
        <v>1.5679867990845191E-2</v>
      </c>
      <c r="J41" s="68"/>
    </row>
    <row r="42" spans="1:13" ht="15" x14ac:dyDescent="0.25">
      <c r="A42" s="35" t="s">
        <v>85</v>
      </c>
      <c r="B42" s="3"/>
      <c r="C42" s="3"/>
      <c r="D42" s="35" t="s">
        <v>72</v>
      </c>
      <c r="E42" s="54">
        <f>A18</f>
        <v>60</v>
      </c>
      <c r="F42" s="100">
        <v>23.89</v>
      </c>
      <c r="G42" s="54">
        <f t="shared" si="2"/>
        <v>1433.4</v>
      </c>
      <c r="H42" s="92">
        <f t="shared" si="0"/>
        <v>24.294915254237289</v>
      </c>
      <c r="I42" s="85">
        <f t="shared" si="1"/>
        <v>2.1585135921322929E-2</v>
      </c>
      <c r="J42" s="68" t="s">
        <v>30</v>
      </c>
      <c r="M42" s="24"/>
    </row>
    <row r="43" spans="1:13" ht="15" x14ac:dyDescent="0.25">
      <c r="A43" s="35" t="s">
        <v>84</v>
      </c>
      <c r="B43" s="3"/>
      <c r="C43" s="3"/>
      <c r="D43" s="35" t="s">
        <v>83</v>
      </c>
      <c r="E43" s="164">
        <f>5*A18</f>
        <v>300</v>
      </c>
      <c r="F43" s="100">
        <v>12.5</v>
      </c>
      <c r="G43" s="54">
        <f t="shared" si="2"/>
        <v>3750</v>
      </c>
      <c r="H43" s="92">
        <f t="shared" si="0"/>
        <v>63.559322033898304</v>
      </c>
      <c r="I43" s="85">
        <f t="shared" si="1"/>
        <v>5.6470112812167558E-2</v>
      </c>
    </row>
    <row r="44" spans="1:13" ht="15" x14ac:dyDescent="0.25">
      <c r="A44" s="35" t="s">
        <v>82</v>
      </c>
      <c r="B44" s="3"/>
      <c r="C44" s="3"/>
      <c r="D44" s="35" t="s">
        <v>81</v>
      </c>
      <c r="E44" s="164">
        <f>E37</f>
        <v>30</v>
      </c>
      <c r="F44" s="100">
        <v>22</v>
      </c>
      <c r="G44" s="54">
        <f t="shared" si="2"/>
        <v>660</v>
      </c>
      <c r="H44" s="92">
        <f t="shared" si="0"/>
        <v>11.186440677966102</v>
      </c>
      <c r="I44" s="85">
        <f t="shared" si="1"/>
        <v>9.9387398549414911E-3</v>
      </c>
    </row>
    <row r="45" spans="1:13" ht="15" x14ac:dyDescent="0.25">
      <c r="A45" s="113" t="s">
        <v>80</v>
      </c>
      <c r="B45" s="3"/>
      <c r="C45" s="3"/>
      <c r="D45" s="35" t="s">
        <v>72</v>
      </c>
      <c r="E45" s="54">
        <f>C33</f>
        <v>59</v>
      </c>
      <c r="F45" s="100">
        <f>H33*0.02</f>
        <v>23.632399999999997</v>
      </c>
      <c r="G45" s="54">
        <f t="shared" si="2"/>
        <v>1394.3115999999998</v>
      </c>
      <c r="H45" s="92">
        <f t="shared" si="0"/>
        <v>23.632399999999997</v>
      </c>
      <c r="I45" s="85">
        <f t="shared" si="1"/>
        <v>2.0996515559283689E-2</v>
      </c>
      <c r="J45" s="68" t="s">
        <v>30</v>
      </c>
    </row>
    <row r="46" spans="1:13" ht="15" x14ac:dyDescent="0.25">
      <c r="A46" s="112" t="s">
        <v>79</v>
      </c>
      <c r="B46" s="3"/>
      <c r="C46" s="3"/>
      <c r="D46" s="35" t="s">
        <v>72</v>
      </c>
      <c r="E46" s="54">
        <f>+C33</f>
        <v>59</v>
      </c>
      <c r="F46" s="100">
        <v>2</v>
      </c>
      <c r="G46" s="54">
        <f t="shared" si="2"/>
        <v>118</v>
      </c>
      <c r="H46" s="92">
        <f t="shared" si="0"/>
        <v>2</v>
      </c>
      <c r="I46" s="85">
        <f t="shared" si="1"/>
        <v>1.7769262164895393E-3</v>
      </c>
      <c r="J46" s="68" t="s">
        <v>30</v>
      </c>
    </row>
    <row r="47" spans="1:13" ht="15" x14ac:dyDescent="0.25">
      <c r="A47" s="35" t="s">
        <v>78</v>
      </c>
      <c r="B47" s="3"/>
      <c r="C47" s="3"/>
      <c r="D47" s="35" t="s">
        <v>66</v>
      </c>
      <c r="E47" s="93" t="s">
        <v>30</v>
      </c>
      <c r="F47" s="111" t="s">
        <v>30</v>
      </c>
      <c r="G47" s="54">
        <f>L114</f>
        <v>244.92214285714286</v>
      </c>
      <c r="H47" s="92">
        <f t="shared" si="0"/>
        <v>4.1512227602905574</v>
      </c>
      <c r="I47" s="85">
        <f t="shared" si="1"/>
        <v>3.6882082766241807E-3</v>
      </c>
      <c r="J47" s="68" t="s">
        <v>30</v>
      </c>
    </row>
    <row r="48" spans="1:13" ht="15.6" thickBot="1" x14ac:dyDescent="0.3">
      <c r="A48" s="35" t="s">
        <v>77</v>
      </c>
      <c r="B48" s="3"/>
      <c r="C48" s="3"/>
      <c r="D48" s="35" t="s">
        <v>66</v>
      </c>
      <c r="E48" s="54">
        <f>((G36+G39)*C22/365)+(G37*(C22+30)/365)+(G42*(C22*0.67)/365)+((+G40+G43+G44+G47)*(C22*0.5)/365)</f>
        <v>29167.857025440313</v>
      </c>
      <c r="F48" s="110">
        <v>5.5E-2</v>
      </c>
      <c r="G48" s="98">
        <f>F48*E48</f>
        <v>1604.2321363992173</v>
      </c>
      <c r="H48" s="97">
        <f t="shared" si="0"/>
        <v>27.190375193207075</v>
      </c>
      <c r="I48" s="96">
        <f t="shared" si="1"/>
        <v>2.4157645258498235E-2</v>
      </c>
      <c r="J48" s="68" t="s">
        <v>30</v>
      </c>
      <c r="K48" s="44">
        <f>G36*C22/365*F48</f>
        <v>1215.1232876712329</v>
      </c>
    </row>
    <row r="49" spans="1:10" ht="15" x14ac:dyDescent="0.25">
      <c r="A49" s="3"/>
      <c r="B49" s="3"/>
      <c r="C49" s="3"/>
      <c r="D49" s="101"/>
      <c r="E49" s="93" t="s">
        <v>30</v>
      </c>
      <c r="F49" s="77" t="s">
        <v>30</v>
      </c>
      <c r="G49" s="95"/>
      <c r="H49" s="92"/>
      <c r="I49" s="85"/>
      <c r="J49" s="68" t="s">
        <v>30</v>
      </c>
    </row>
    <row r="50" spans="1:10" ht="15" x14ac:dyDescent="0.25">
      <c r="A50" s="35" t="s">
        <v>76</v>
      </c>
      <c r="B50" s="3"/>
      <c r="C50" s="3"/>
      <c r="D50" s="101"/>
      <c r="E50" s="93" t="s">
        <v>30</v>
      </c>
      <c r="F50" s="77" t="s">
        <v>30</v>
      </c>
      <c r="G50" s="54">
        <f>SUM(G36:G48)</f>
        <v>64386.115879256358</v>
      </c>
      <c r="H50" s="92">
        <f>G50/$C$33</f>
        <v>1091.2900996484129</v>
      </c>
      <c r="I50" s="85">
        <f>SUM(I36:I48)</f>
        <v>0.96957099393037316</v>
      </c>
      <c r="J50" s="68" t="s">
        <v>30</v>
      </c>
    </row>
    <row r="51" spans="1:10" ht="15" x14ac:dyDescent="0.25">
      <c r="A51" s="3"/>
      <c r="B51" s="3"/>
      <c r="C51" s="3"/>
      <c r="D51" s="101"/>
      <c r="E51" s="93" t="s">
        <v>30</v>
      </c>
      <c r="F51" s="77" t="s">
        <v>30</v>
      </c>
      <c r="G51" s="93" t="s">
        <v>30</v>
      </c>
      <c r="H51" s="92"/>
      <c r="I51" s="85"/>
      <c r="J51" s="68" t="s">
        <v>30</v>
      </c>
    </row>
    <row r="52" spans="1:10" ht="15" x14ac:dyDescent="0.25">
      <c r="A52" s="109" t="s">
        <v>75</v>
      </c>
      <c r="B52" s="108"/>
      <c r="C52" s="108"/>
      <c r="D52" s="107"/>
      <c r="E52" s="106" t="s">
        <v>30</v>
      </c>
      <c r="F52" s="105" t="s">
        <v>30</v>
      </c>
      <c r="G52" s="104">
        <f>G33-G50</f>
        <v>5329.4641207436289</v>
      </c>
      <c r="H52" s="103">
        <f>G52/$C$33</f>
        <v>90.329900351586929</v>
      </c>
      <c r="I52" s="102"/>
      <c r="J52" s="68" t="s">
        <v>30</v>
      </c>
    </row>
    <row r="53" spans="1:10" ht="15" x14ac:dyDescent="0.25">
      <c r="A53" s="3"/>
      <c r="B53" s="3"/>
      <c r="C53" s="3"/>
      <c r="D53" s="101"/>
      <c r="E53" s="93" t="s">
        <v>30</v>
      </c>
      <c r="F53" s="3"/>
      <c r="G53" s="93" t="s">
        <v>30</v>
      </c>
      <c r="H53" s="92"/>
      <c r="I53" s="85"/>
      <c r="J53" s="68" t="s">
        <v>30</v>
      </c>
    </row>
    <row r="54" spans="1:10" ht="15" x14ac:dyDescent="0.25">
      <c r="A54" s="36" t="s">
        <v>74</v>
      </c>
      <c r="B54" s="3"/>
      <c r="C54" s="3"/>
      <c r="D54" s="101"/>
      <c r="E54" s="93" t="s">
        <v>30</v>
      </c>
      <c r="F54" s="3"/>
      <c r="G54" s="93" t="s">
        <v>30</v>
      </c>
      <c r="H54" s="92"/>
      <c r="I54" s="85"/>
      <c r="J54" s="68" t="s">
        <v>30</v>
      </c>
    </row>
    <row r="55" spans="1:10" ht="15" x14ac:dyDescent="0.25">
      <c r="A55" s="35" t="s">
        <v>73</v>
      </c>
      <c r="B55" s="3"/>
      <c r="C55" s="3"/>
      <c r="D55" s="35" t="s">
        <v>72</v>
      </c>
      <c r="E55" s="54">
        <f>A18</f>
        <v>60</v>
      </c>
      <c r="F55" s="100">
        <v>2.5</v>
      </c>
      <c r="G55" s="54">
        <f>F55*E55</f>
        <v>150</v>
      </c>
      <c r="H55" s="92">
        <f>G55/$C$33</f>
        <v>2.5423728813559321</v>
      </c>
      <c r="I55" s="85">
        <f>H55/$H$63</f>
        <v>2.2588045124867021E-3</v>
      </c>
      <c r="J55" s="68" t="s">
        <v>30</v>
      </c>
    </row>
    <row r="56" spans="1:10" ht="15" x14ac:dyDescent="0.25">
      <c r="A56" s="35" t="s">
        <v>71</v>
      </c>
      <c r="B56" s="3"/>
      <c r="C56" s="3"/>
      <c r="D56" s="35" t="s">
        <v>70</v>
      </c>
      <c r="E56" s="54">
        <f>E37</f>
        <v>30</v>
      </c>
      <c r="F56" s="100">
        <v>8.31</v>
      </c>
      <c r="G56" s="54">
        <f>F56*E56</f>
        <v>249.3</v>
      </c>
      <c r="H56" s="92">
        <f>G56/$C$33</f>
        <v>4.2254237288135599</v>
      </c>
      <c r="I56" s="85">
        <f>H56/$H$63</f>
        <v>3.7541330997528997E-3</v>
      </c>
      <c r="J56" s="68" t="s">
        <v>30</v>
      </c>
    </row>
    <row r="57" spans="1:10" ht="15" x14ac:dyDescent="0.25">
      <c r="A57" s="35" t="s">
        <v>69</v>
      </c>
      <c r="B57" s="3"/>
      <c r="C57" s="3"/>
      <c r="D57" s="35" t="s">
        <v>66</v>
      </c>
      <c r="E57" s="54">
        <f>(F114+J114)/2</f>
        <v>6838.1</v>
      </c>
      <c r="F57" s="99">
        <v>6.5000000000000002E-2</v>
      </c>
      <c r="G57" s="54">
        <f>F57*E57</f>
        <v>444.47650000000004</v>
      </c>
      <c r="H57" s="92">
        <f>G57/$C$33</f>
        <v>7.533500000000001</v>
      </c>
      <c r="I57" s="85">
        <f>H57/$H$63</f>
        <v>6.6932368259619724E-3</v>
      </c>
      <c r="J57" s="68" t="s">
        <v>30</v>
      </c>
    </row>
    <row r="58" spans="1:10" ht="15" x14ac:dyDescent="0.25">
      <c r="A58" s="35" t="s">
        <v>68</v>
      </c>
      <c r="B58" s="3"/>
      <c r="C58" s="3"/>
      <c r="D58" s="35" t="s">
        <v>66</v>
      </c>
      <c r="E58" s="77" t="s">
        <v>30</v>
      </c>
      <c r="F58" s="77" t="s">
        <v>30</v>
      </c>
      <c r="G58" s="54">
        <f>K114</f>
        <v>1083.4085714285716</v>
      </c>
      <c r="H58" s="92">
        <f>G58/$C$33</f>
        <v>18.362857142857145</v>
      </c>
      <c r="I58" s="85">
        <f>H58/$H$63</f>
        <v>1.6314721133397526E-2</v>
      </c>
      <c r="J58" s="68" t="s">
        <v>30</v>
      </c>
    </row>
    <row r="59" spans="1:10" ht="15.6" thickBot="1" x14ac:dyDescent="0.3">
      <c r="A59" s="35" t="s">
        <v>67</v>
      </c>
      <c r="B59" s="3"/>
      <c r="C59" s="3"/>
      <c r="D59" s="35" t="s">
        <v>66</v>
      </c>
      <c r="E59" s="77" t="s">
        <v>30</v>
      </c>
      <c r="F59" s="77" t="s">
        <v>30</v>
      </c>
      <c r="G59" s="98">
        <f>M114</f>
        <v>93.508124999999993</v>
      </c>
      <c r="H59" s="97">
        <f>G59/$C$33</f>
        <v>1.584883474576271</v>
      </c>
      <c r="I59" s="96">
        <f>H59/$H$63</f>
        <v>1.4081104980278041E-3</v>
      </c>
      <c r="J59" s="68" t="s">
        <v>30</v>
      </c>
    </row>
    <row r="60" spans="1:10" ht="15" x14ac:dyDescent="0.25">
      <c r="A60" s="3"/>
      <c r="B60" s="3"/>
      <c r="C60" s="3"/>
      <c r="D60" s="3"/>
      <c r="E60" s="77" t="s">
        <v>30</v>
      </c>
      <c r="F60" s="77" t="s">
        <v>30</v>
      </c>
      <c r="G60" s="95"/>
      <c r="H60" s="92"/>
      <c r="I60" s="94"/>
      <c r="J60" s="68" t="s">
        <v>30</v>
      </c>
    </row>
    <row r="61" spans="1:10" ht="15" x14ac:dyDescent="0.25">
      <c r="A61" s="35" t="s">
        <v>65</v>
      </c>
      <c r="B61" s="3"/>
      <c r="C61" s="3"/>
      <c r="D61" s="3"/>
      <c r="E61" s="77" t="s">
        <v>30</v>
      </c>
      <c r="F61" s="77" t="s">
        <v>30</v>
      </c>
      <c r="G61" s="54">
        <f>SUM(G55:G59)</f>
        <v>2020.6931964285716</v>
      </c>
      <c r="H61" s="92">
        <f>G61/$C$33</f>
        <v>34.249037227602905</v>
      </c>
      <c r="I61" s="85">
        <f>SUM(I55:I59)</f>
        <v>3.0429006069626903E-2</v>
      </c>
      <c r="J61" s="68" t="s">
        <v>30</v>
      </c>
    </row>
    <row r="62" spans="1:10" ht="15" x14ac:dyDescent="0.25">
      <c r="A62" s="3"/>
      <c r="B62" s="3"/>
      <c r="C62" s="3"/>
      <c r="D62" s="3"/>
      <c r="E62" s="77" t="s">
        <v>30</v>
      </c>
      <c r="F62" s="77" t="s">
        <v>30</v>
      </c>
      <c r="G62" s="93" t="s">
        <v>30</v>
      </c>
      <c r="H62" s="92"/>
      <c r="I62" s="85"/>
      <c r="J62" s="68" t="s">
        <v>30</v>
      </c>
    </row>
    <row r="63" spans="1:10" ht="15" x14ac:dyDescent="0.25">
      <c r="A63" s="91" t="s">
        <v>64</v>
      </c>
      <c r="B63" s="10"/>
      <c r="C63" s="10"/>
      <c r="D63" s="10"/>
      <c r="E63" s="10"/>
      <c r="F63" s="90" t="s">
        <v>30</v>
      </c>
      <c r="G63" s="89">
        <f>G50+G61</f>
        <v>66406.809075684927</v>
      </c>
      <c r="H63" s="88">
        <f>G63/$C$33</f>
        <v>1125.5391368760156</v>
      </c>
      <c r="I63" s="87">
        <f>SUM(I36:I48,I55:I59)</f>
        <v>1.0000000000000002</v>
      </c>
      <c r="J63" s="68" t="s">
        <v>30</v>
      </c>
    </row>
    <row r="64" spans="1:10" ht="15" x14ac:dyDescent="0.25">
      <c r="A64" s="3"/>
      <c r="B64" s="3"/>
      <c r="C64" s="3"/>
      <c r="D64" s="3"/>
      <c r="E64" s="77" t="s">
        <v>30</v>
      </c>
      <c r="F64" s="77" t="s">
        <v>30</v>
      </c>
      <c r="G64" s="77" t="s">
        <v>30</v>
      </c>
      <c r="H64" s="86"/>
      <c r="I64" s="85"/>
      <c r="J64" s="68" t="s">
        <v>30</v>
      </c>
    </row>
    <row r="65" spans="1:10" ht="15.6" thickBot="1" x14ac:dyDescent="0.3">
      <c r="A65" s="84" t="s">
        <v>63</v>
      </c>
      <c r="B65" s="71"/>
      <c r="C65" s="71"/>
      <c r="D65" s="71"/>
      <c r="E65" s="71"/>
      <c r="F65" s="71"/>
      <c r="G65" s="70">
        <f>G33-G63</f>
        <v>3308.7709243150603</v>
      </c>
      <c r="H65" s="83">
        <f>G65/$C$33</f>
        <v>56.080863123984074</v>
      </c>
      <c r="I65" s="82"/>
      <c r="J65" s="68" t="s">
        <v>30</v>
      </c>
    </row>
    <row r="66" spans="1:10" s="79" customFormat="1" ht="16.2" thickTop="1" thickBot="1" x14ac:dyDescent="0.3">
      <c r="A66" s="81"/>
      <c r="B66" s="71"/>
      <c r="C66" s="71"/>
      <c r="D66" s="71"/>
      <c r="E66" s="71"/>
      <c r="F66" s="71"/>
      <c r="G66" s="71"/>
      <c r="H66" s="71"/>
      <c r="I66" s="71"/>
      <c r="J66" s="80" t="s">
        <v>30</v>
      </c>
    </row>
    <row r="67" spans="1:10" ht="15.6" thickTop="1" x14ac:dyDescent="0.25">
      <c r="A67" s="35" t="s">
        <v>62</v>
      </c>
      <c r="B67" s="3"/>
      <c r="C67" s="3"/>
      <c r="D67" s="3"/>
      <c r="E67" s="3"/>
      <c r="F67" s="3"/>
      <c r="G67" s="41">
        <f>+G33/C33</f>
        <v>1181.6199999999999</v>
      </c>
      <c r="H67" s="73"/>
      <c r="I67" s="73"/>
      <c r="J67" s="68" t="s">
        <v>30</v>
      </c>
    </row>
    <row r="68" spans="1:10" ht="15" x14ac:dyDescent="0.25">
      <c r="A68" s="3"/>
      <c r="B68" s="3"/>
      <c r="C68" s="3"/>
      <c r="D68" s="3"/>
      <c r="E68" s="3"/>
      <c r="F68" s="3"/>
      <c r="G68" s="3"/>
      <c r="H68" s="8"/>
      <c r="I68" s="8"/>
    </row>
    <row r="69" spans="1:10" ht="15" x14ac:dyDescent="0.25">
      <c r="A69" s="35" t="s">
        <v>61</v>
      </c>
      <c r="B69" s="3"/>
      <c r="C69" s="3"/>
      <c r="D69" s="3"/>
      <c r="E69" s="3"/>
      <c r="F69" s="3"/>
      <c r="G69" s="41">
        <f>G36/C33</f>
        <v>683.38983050847457</v>
      </c>
      <c r="H69" s="73"/>
      <c r="I69" s="73"/>
      <c r="J69" s="68" t="s">
        <v>30</v>
      </c>
    </row>
    <row r="70" spans="1:10" ht="15" x14ac:dyDescent="0.25">
      <c r="A70" s="3"/>
      <c r="B70" s="3"/>
      <c r="C70" s="3"/>
      <c r="D70" s="3"/>
      <c r="E70" s="3"/>
      <c r="F70" s="3"/>
      <c r="G70" s="3"/>
      <c r="H70" s="8"/>
      <c r="I70" s="8"/>
    </row>
    <row r="71" spans="1:10" ht="15" x14ac:dyDescent="0.25">
      <c r="A71" s="20">
        <f>((E33*C33)-E36*C36)/C33</f>
        <v>4.9522033898305073</v>
      </c>
      <c r="B71" s="35" t="s">
        <v>60</v>
      </c>
      <c r="C71" s="3"/>
      <c r="D71" s="35" t="s">
        <v>59</v>
      </c>
      <c r="E71" s="3"/>
      <c r="F71" s="3"/>
      <c r="G71" s="41">
        <f>(G33/C33)-(G36/C33)</f>
        <v>498.23016949152532</v>
      </c>
      <c r="H71" s="73"/>
      <c r="I71" s="73"/>
      <c r="J71" s="68" t="s">
        <v>30</v>
      </c>
    </row>
    <row r="72" spans="1:10" ht="15" x14ac:dyDescent="0.25">
      <c r="A72" s="3"/>
      <c r="B72" s="3"/>
      <c r="C72" s="3"/>
      <c r="D72" s="3"/>
      <c r="E72" s="3"/>
      <c r="F72" s="3"/>
      <c r="G72" s="3"/>
      <c r="H72" s="8"/>
      <c r="I72" s="8"/>
    </row>
    <row r="73" spans="1:10" ht="15" x14ac:dyDescent="0.25">
      <c r="A73" s="35" t="s">
        <v>58</v>
      </c>
      <c r="B73" s="3"/>
      <c r="C73" s="3"/>
      <c r="D73" s="3"/>
      <c r="E73" s="3"/>
      <c r="F73" s="3"/>
      <c r="G73" s="41">
        <f>(G63-G36)/C33</f>
        <v>442.14930636754116</v>
      </c>
      <c r="H73" s="73"/>
      <c r="I73" s="73"/>
      <c r="J73" s="68" t="s">
        <v>30</v>
      </c>
    </row>
    <row r="74" spans="1:10" ht="15" x14ac:dyDescent="0.25">
      <c r="A74" s="3"/>
      <c r="B74" s="3"/>
      <c r="C74" s="3"/>
      <c r="D74" s="3"/>
      <c r="E74" s="3"/>
      <c r="F74" s="3"/>
      <c r="G74" s="3"/>
      <c r="H74" s="8"/>
      <c r="I74" s="8"/>
    </row>
    <row r="75" spans="1:10" ht="15" x14ac:dyDescent="0.25">
      <c r="A75" s="35" t="s">
        <v>57</v>
      </c>
      <c r="B75" s="3"/>
      <c r="C75" s="3"/>
      <c r="D75" s="3"/>
      <c r="E75" s="3"/>
      <c r="F75" s="3"/>
      <c r="G75" s="41">
        <f>(G33-G36)/((E33*C33)-E36*C36)</f>
        <v>100.60777602847557</v>
      </c>
      <c r="H75" s="73"/>
      <c r="I75" s="73"/>
      <c r="J75" s="68" t="s">
        <v>30</v>
      </c>
    </row>
    <row r="76" spans="1:10" ht="15" x14ac:dyDescent="0.25">
      <c r="A76" s="3"/>
      <c r="B76" s="3"/>
      <c r="C76" s="3"/>
      <c r="D76" s="3"/>
      <c r="E76" s="3"/>
      <c r="F76" s="3"/>
      <c r="G76" s="3"/>
      <c r="H76" s="8"/>
      <c r="I76" s="8"/>
      <c r="J76" s="68" t="s">
        <v>30</v>
      </c>
    </row>
    <row r="77" spans="1:10" ht="15" x14ac:dyDescent="0.25">
      <c r="A77" s="35" t="s">
        <v>56</v>
      </c>
      <c r="B77" s="3"/>
      <c r="C77" s="3"/>
      <c r="D77" s="3"/>
      <c r="E77" s="3"/>
      <c r="F77" s="3"/>
      <c r="G77" s="41">
        <f>(G50-G36)/((E33*C33)-E36*C36)</f>
        <v>82.367430622412087</v>
      </c>
      <c r="H77" s="73"/>
      <c r="I77" s="73"/>
      <c r="J77" s="68" t="s">
        <v>30</v>
      </c>
    </row>
    <row r="78" spans="1:10" ht="15" x14ac:dyDescent="0.25">
      <c r="A78" s="3"/>
      <c r="B78" s="3"/>
      <c r="C78" s="3"/>
      <c r="D78" s="3"/>
      <c r="E78" s="3"/>
      <c r="F78" s="3"/>
      <c r="G78" s="3"/>
      <c r="H78" s="8"/>
      <c r="I78" s="8"/>
      <c r="J78" s="68" t="s">
        <v>30</v>
      </c>
    </row>
    <row r="79" spans="1:10" ht="15" x14ac:dyDescent="0.25">
      <c r="A79" s="35" t="s">
        <v>55</v>
      </c>
      <c r="B79" s="3"/>
      <c r="C79" s="3"/>
      <c r="D79" s="3"/>
      <c r="E79" s="3"/>
      <c r="F79" s="3"/>
      <c r="G79" s="41">
        <f>(G63-G36)/((E33*C33)-E36*C36)</f>
        <v>89.283349564258103</v>
      </c>
      <c r="H79" s="73"/>
      <c r="I79" s="73"/>
      <c r="J79" s="68" t="s">
        <v>30</v>
      </c>
    </row>
    <row r="80" spans="1:10" ht="15" x14ac:dyDescent="0.25">
      <c r="A80" s="3"/>
      <c r="B80" s="3"/>
      <c r="C80" s="3"/>
      <c r="D80" s="3"/>
      <c r="E80" s="3"/>
      <c r="F80" s="3"/>
      <c r="G80" s="3"/>
      <c r="H80" s="8"/>
      <c r="I80" s="8"/>
      <c r="J80" s="68" t="s">
        <v>30</v>
      </c>
    </row>
    <row r="81" spans="1:11" ht="15" x14ac:dyDescent="0.25">
      <c r="A81" s="35" t="s">
        <v>54</v>
      </c>
      <c r="B81" s="3"/>
      <c r="C81" s="3"/>
      <c r="D81" s="3"/>
      <c r="E81" s="3"/>
      <c r="F81" s="3"/>
      <c r="G81" s="74">
        <f>G52/C33</f>
        <v>90.329900351586929</v>
      </c>
      <c r="H81" s="73"/>
      <c r="I81" s="73"/>
      <c r="J81" s="68" t="s">
        <v>30</v>
      </c>
    </row>
    <row r="82" spans="1:11" ht="15" x14ac:dyDescent="0.25">
      <c r="A82" s="3"/>
      <c r="B82" s="3"/>
      <c r="C82" s="3"/>
      <c r="D82" s="3"/>
      <c r="E82" s="77" t="s">
        <v>30</v>
      </c>
      <c r="F82" s="77" t="s">
        <v>30</v>
      </c>
      <c r="G82" s="77" t="s">
        <v>30</v>
      </c>
      <c r="H82" s="76"/>
      <c r="I82" s="76"/>
      <c r="J82" s="68" t="s">
        <v>30</v>
      </c>
    </row>
    <row r="83" spans="1:11" ht="15" x14ac:dyDescent="0.25">
      <c r="A83" s="35" t="s">
        <v>53</v>
      </c>
      <c r="B83" s="3"/>
      <c r="C83" s="3"/>
      <c r="D83" s="3"/>
      <c r="E83" s="3"/>
      <c r="F83" s="3"/>
      <c r="G83" s="74">
        <f>G65/C33</f>
        <v>56.080863123984074</v>
      </c>
      <c r="H83" s="78"/>
      <c r="I83" s="78"/>
      <c r="J83" s="68" t="s">
        <v>30</v>
      </c>
    </row>
    <row r="84" spans="1:11" ht="15" x14ac:dyDescent="0.25">
      <c r="A84" s="3"/>
      <c r="B84" s="3"/>
      <c r="C84" s="3"/>
      <c r="D84" s="3"/>
      <c r="E84" s="3"/>
      <c r="F84" s="3"/>
      <c r="G84" s="3"/>
      <c r="H84" s="8"/>
      <c r="I84" s="8"/>
      <c r="J84" s="68" t="s">
        <v>30</v>
      </c>
    </row>
    <row r="85" spans="1:11" ht="15" x14ac:dyDescent="0.25">
      <c r="A85" s="35" t="s">
        <v>52</v>
      </c>
      <c r="B85" s="3"/>
      <c r="C85" s="3"/>
      <c r="D85" s="3"/>
      <c r="E85" s="3"/>
      <c r="F85" s="3"/>
      <c r="G85" s="74">
        <f>G50/(E33*C33)</f>
        <v>120.98559863064445</v>
      </c>
      <c r="H85" s="73"/>
      <c r="I85" s="73"/>
      <c r="J85" s="68" t="s">
        <v>30</v>
      </c>
    </row>
    <row r="86" spans="1:11" ht="15" x14ac:dyDescent="0.25">
      <c r="A86" s="3"/>
      <c r="B86" s="3"/>
      <c r="C86" s="3"/>
      <c r="D86" s="3"/>
      <c r="E86" s="77" t="s">
        <v>30</v>
      </c>
      <c r="F86" s="77" t="s">
        <v>30</v>
      </c>
      <c r="G86" s="77" t="s">
        <v>30</v>
      </c>
      <c r="H86" s="76"/>
      <c r="I86" s="76"/>
      <c r="J86" s="68" t="s">
        <v>30</v>
      </c>
    </row>
    <row r="87" spans="1:11" ht="15" x14ac:dyDescent="0.25">
      <c r="A87" s="35" t="s">
        <v>50</v>
      </c>
      <c r="B87" s="3"/>
      <c r="C87" s="3"/>
      <c r="D87" s="3"/>
      <c r="E87" s="3"/>
      <c r="F87" s="3"/>
      <c r="G87" s="74">
        <f>G63/(E33*C33)</f>
        <v>124.78260940975785</v>
      </c>
      <c r="H87" s="73"/>
      <c r="I87" s="73"/>
      <c r="J87" s="68" t="s">
        <v>30</v>
      </c>
      <c r="K87" s="75">
        <f>(E36*K88)*C22/365*F48</f>
        <v>1314.8396716916866</v>
      </c>
    </row>
    <row r="88" spans="1:11" ht="15" x14ac:dyDescent="0.25">
      <c r="A88" s="3"/>
      <c r="B88" s="3"/>
      <c r="C88" s="3"/>
      <c r="D88" s="3"/>
      <c r="E88" s="3"/>
      <c r="F88" s="3"/>
      <c r="G88" s="3"/>
      <c r="H88" s="8"/>
      <c r="I88" s="8"/>
      <c r="K88" s="75">
        <f>(G65+G36)/E36</f>
        <v>10907.192731078765</v>
      </c>
    </row>
    <row r="89" spans="1:11" ht="15" x14ac:dyDescent="0.25">
      <c r="A89" s="35" t="s">
        <v>51</v>
      </c>
      <c r="B89" s="3"/>
      <c r="C89" s="3"/>
      <c r="D89" s="3"/>
      <c r="E89" s="3"/>
      <c r="F89" s="3"/>
      <c r="G89" s="74">
        <f>(G52+G36+(K48-K87))/(E36*C36)</f>
        <v>189.79061556967991</v>
      </c>
      <c r="H89" s="73"/>
      <c r="I89" s="73"/>
      <c r="J89" s="68" t="s">
        <v>30</v>
      </c>
    </row>
    <row r="90" spans="1:11" ht="15" x14ac:dyDescent="0.25">
      <c r="A90" s="3"/>
      <c r="B90" s="3"/>
      <c r="C90" s="3"/>
      <c r="D90" s="3"/>
      <c r="E90" s="3"/>
      <c r="F90" s="3"/>
      <c r="G90" s="3"/>
      <c r="H90" s="8"/>
      <c r="I90" s="8"/>
    </row>
    <row r="91" spans="1:11" ht="15.6" thickBot="1" x14ac:dyDescent="0.3">
      <c r="A91" s="72" t="s">
        <v>50</v>
      </c>
      <c r="B91" s="71"/>
      <c r="C91" s="71"/>
      <c r="D91" s="71"/>
      <c r="E91" s="71"/>
      <c r="F91" s="71"/>
      <c r="G91" s="70">
        <f>(G65+G36+(K48-K87))/(E36*C36)</f>
        <v>181.37106058456087</v>
      </c>
      <c r="H91" s="69"/>
      <c r="I91" s="69"/>
      <c r="J91" s="68" t="s">
        <v>30</v>
      </c>
    </row>
    <row r="92" spans="1:11" ht="15.6" thickTop="1" x14ac:dyDescent="0.25">
      <c r="A92" s="57"/>
      <c r="B92" s="3"/>
      <c r="C92" s="3"/>
      <c r="D92" s="3"/>
      <c r="E92" s="3"/>
      <c r="F92" s="3"/>
      <c r="G92" s="3"/>
      <c r="H92" s="3"/>
      <c r="I92" s="3"/>
      <c r="J92" s="68" t="s">
        <v>30</v>
      </c>
    </row>
    <row r="93" spans="1:11" ht="15" x14ac:dyDescent="0.25">
      <c r="A93" s="35" t="s">
        <v>49</v>
      </c>
      <c r="B93" s="3"/>
      <c r="C93" s="3"/>
      <c r="D93" s="3"/>
      <c r="E93" s="3"/>
      <c r="F93" s="3"/>
      <c r="G93" s="3"/>
      <c r="H93" s="3"/>
      <c r="I93" s="3"/>
    </row>
    <row r="94" spans="1:11" ht="15" x14ac:dyDescent="0.25">
      <c r="A94" s="35"/>
      <c r="B94" s="3"/>
      <c r="C94" s="3"/>
      <c r="D94" s="3"/>
      <c r="E94" s="3"/>
      <c r="F94" s="3"/>
      <c r="G94" s="3"/>
      <c r="H94" s="3"/>
      <c r="I94" s="3"/>
    </row>
    <row r="95" spans="1:11" ht="15" x14ac:dyDescent="0.25">
      <c r="A95" s="35" t="s">
        <v>48</v>
      </c>
      <c r="B95" s="3"/>
      <c r="C95" s="3"/>
      <c r="D95" s="3"/>
      <c r="E95" s="3"/>
      <c r="F95" s="3"/>
      <c r="G95" s="3"/>
      <c r="H95" s="3"/>
      <c r="I95" s="3"/>
    </row>
    <row r="96" spans="1:11" s="64" customFormat="1" ht="15.6" x14ac:dyDescent="0.3">
      <c r="A96" s="67">
        <f>A18</f>
        <v>60</v>
      </c>
      <c r="B96" s="66" t="str">
        <f>B18</f>
        <v xml:space="preserve"> HEAD: STOCKER-STEER BUDGET (WINTER GRAZING WITH SUPPLEMENTAL RATION);</v>
      </c>
      <c r="C96" s="65"/>
      <c r="D96" s="65"/>
      <c r="E96" s="65"/>
      <c r="F96" s="65"/>
      <c r="G96" s="65"/>
      <c r="H96" s="65"/>
      <c r="I96" s="65"/>
    </row>
    <row r="97" spans="1:14" ht="15" x14ac:dyDescent="0.25">
      <c r="A97" s="3"/>
      <c r="B97" s="52"/>
      <c r="C97" s="3"/>
      <c r="D97" s="3"/>
      <c r="E97" s="3"/>
      <c r="F97" s="3"/>
      <c r="G97" s="3"/>
      <c r="H97" s="3"/>
      <c r="I97" s="3"/>
    </row>
    <row r="98" spans="1:14" ht="15" x14ac:dyDescent="0.25">
      <c r="A98" s="63"/>
      <c r="B98" s="56"/>
      <c r="C98" s="3"/>
      <c r="D98" s="3"/>
      <c r="E98" s="3"/>
      <c r="F98" s="3"/>
      <c r="G98" s="3"/>
      <c r="H98" s="3"/>
      <c r="I98" s="3"/>
    </row>
    <row r="99" spans="1:14" ht="15" x14ac:dyDescent="0.25">
      <c r="A99" s="3"/>
      <c r="B99" s="3"/>
      <c r="C99" s="7" t="s">
        <v>47</v>
      </c>
      <c r="D99" s="3"/>
      <c r="E99" s="3"/>
      <c r="F99" s="3"/>
      <c r="G99" s="3"/>
      <c r="H99" s="3"/>
      <c r="I99" s="3"/>
    </row>
    <row r="100" spans="1:14" ht="15" x14ac:dyDescent="0.25">
      <c r="A100" s="3"/>
      <c r="B100" s="3"/>
      <c r="C100" s="3"/>
      <c r="D100" s="3"/>
      <c r="E100" s="3"/>
      <c r="F100" s="3"/>
      <c r="G100" s="3"/>
      <c r="H100" s="3"/>
      <c r="I100" s="3"/>
    </row>
    <row r="101" spans="1:14" ht="15" x14ac:dyDescent="0.25">
      <c r="A101" s="3"/>
      <c r="B101" s="62"/>
      <c r="C101" s="58" t="s">
        <v>46</v>
      </c>
      <c r="D101" s="58"/>
      <c r="E101" s="58" t="s">
        <v>45</v>
      </c>
      <c r="F101" s="58" t="s">
        <v>21</v>
      </c>
      <c r="G101" s="58" t="s">
        <v>43</v>
      </c>
      <c r="H101" s="58" t="s">
        <v>44</v>
      </c>
      <c r="I101" s="58"/>
      <c r="J101" s="24" t="s">
        <v>43</v>
      </c>
      <c r="K101" s="24" t="s">
        <v>42</v>
      </c>
      <c r="L101" s="24" t="s">
        <v>41</v>
      </c>
      <c r="M101" s="24" t="s">
        <v>40</v>
      </c>
    </row>
    <row r="102" spans="1:14" ht="15" x14ac:dyDescent="0.25">
      <c r="A102" s="11" t="s">
        <v>39</v>
      </c>
      <c r="B102" s="61"/>
      <c r="C102" s="34" t="s">
        <v>38</v>
      </c>
      <c r="D102" s="60" t="s">
        <v>37</v>
      </c>
      <c r="E102" s="34" t="s">
        <v>36</v>
      </c>
      <c r="F102" s="60" t="s">
        <v>35</v>
      </c>
      <c r="G102" s="60" t="s">
        <v>34</v>
      </c>
      <c r="H102" s="60" t="s">
        <v>33</v>
      </c>
      <c r="I102" s="59"/>
      <c r="J102" s="24" t="s">
        <v>32</v>
      </c>
      <c r="K102" s="24" t="s">
        <v>31</v>
      </c>
    </row>
    <row r="103" spans="1:14" ht="15" x14ac:dyDescent="0.25">
      <c r="A103" s="3"/>
      <c r="B103" s="3"/>
      <c r="C103" s="3"/>
      <c r="D103" s="58" t="s">
        <v>30</v>
      </c>
      <c r="E103" s="3"/>
      <c r="F103" s="58" t="s">
        <v>30</v>
      </c>
      <c r="G103" s="58"/>
      <c r="H103" s="3"/>
      <c r="I103" s="3"/>
    </row>
    <row r="104" spans="1:14" ht="15" x14ac:dyDescent="0.25">
      <c r="A104" s="57"/>
      <c r="B104" s="3"/>
      <c r="C104" s="3"/>
      <c r="D104" s="3"/>
      <c r="E104" s="3"/>
      <c r="F104" s="3"/>
      <c r="G104" s="3"/>
      <c r="H104" s="3"/>
      <c r="I104" s="3"/>
    </row>
    <row r="105" spans="1:14" ht="15" x14ac:dyDescent="0.25">
      <c r="A105" s="153" t="s">
        <v>29</v>
      </c>
      <c r="B105" s="55"/>
      <c r="C105" s="154">
        <v>2050</v>
      </c>
      <c r="D105" s="155">
        <v>1</v>
      </c>
      <c r="E105" s="155">
        <v>0.67</v>
      </c>
      <c r="F105" s="54">
        <f t="shared" ref="F105:F112" si="3">C105*D105*E105</f>
        <v>1373.5</v>
      </c>
      <c r="G105" s="155">
        <v>0</v>
      </c>
      <c r="H105" s="155">
        <v>15</v>
      </c>
      <c r="I105" s="53"/>
      <c r="J105" s="26">
        <f t="shared" ref="J105:J112" si="4">F105/100*G105</f>
        <v>0</v>
      </c>
      <c r="K105" s="26">
        <f t="shared" ref="K105:K112" si="5">IF(F105=0,0,(F105-J105)/H105)</f>
        <v>91.566666666666663</v>
      </c>
      <c r="L105" s="26">
        <f t="shared" ref="L105:L112" si="6">IF(F105=0,0,(0.2*F105)/H105)</f>
        <v>18.313333333333333</v>
      </c>
      <c r="M105" s="26">
        <f t="shared" ref="M105:M112" si="7">0.0075*F105</f>
        <v>10.30125</v>
      </c>
    </row>
    <row r="106" spans="1:14" ht="15" x14ac:dyDescent="0.25">
      <c r="A106" s="153" t="s">
        <v>28</v>
      </c>
      <c r="B106" s="55"/>
      <c r="C106" s="154">
        <v>3500</v>
      </c>
      <c r="D106" s="155">
        <v>1</v>
      </c>
      <c r="E106" s="155">
        <v>0.67</v>
      </c>
      <c r="F106" s="54">
        <f t="shared" si="3"/>
        <v>2345</v>
      </c>
      <c r="G106" s="155">
        <v>0</v>
      </c>
      <c r="H106" s="155">
        <v>15</v>
      </c>
      <c r="I106" s="53"/>
      <c r="J106" s="26">
        <f t="shared" si="4"/>
        <v>0</v>
      </c>
      <c r="K106" s="26">
        <f t="shared" si="5"/>
        <v>156.33333333333334</v>
      </c>
      <c r="L106" s="26">
        <f t="shared" si="6"/>
        <v>31.266666666666666</v>
      </c>
      <c r="M106" s="26">
        <f t="shared" si="7"/>
        <v>17.587499999999999</v>
      </c>
      <c r="N106" s="162">
        <v>54.1666666666667</v>
      </c>
    </row>
    <row r="107" spans="1:14" ht="15" x14ac:dyDescent="0.25">
      <c r="A107" s="153" t="s">
        <v>27</v>
      </c>
      <c r="B107" s="55"/>
      <c r="C107" s="154">
        <v>450</v>
      </c>
      <c r="D107" s="155">
        <v>2</v>
      </c>
      <c r="E107" s="155">
        <v>0.67</v>
      </c>
      <c r="F107" s="54">
        <f t="shared" si="3"/>
        <v>603</v>
      </c>
      <c r="G107" s="155">
        <v>0</v>
      </c>
      <c r="H107" s="155">
        <v>10</v>
      </c>
      <c r="I107" s="53"/>
      <c r="J107" s="26">
        <f t="shared" si="4"/>
        <v>0</v>
      </c>
      <c r="K107" s="26">
        <f t="shared" si="5"/>
        <v>60.3</v>
      </c>
      <c r="L107" s="26">
        <f t="shared" si="6"/>
        <v>12.06</v>
      </c>
      <c r="M107" s="26">
        <f t="shared" si="7"/>
        <v>4.5225</v>
      </c>
      <c r="N107" s="162">
        <v>16</v>
      </c>
    </row>
    <row r="108" spans="1:14" ht="15" x14ac:dyDescent="0.25">
      <c r="A108" s="153" t="s">
        <v>26</v>
      </c>
      <c r="B108" s="55"/>
      <c r="C108" s="154">
        <v>750</v>
      </c>
      <c r="D108" s="155">
        <v>1</v>
      </c>
      <c r="E108" s="155">
        <v>0.67</v>
      </c>
      <c r="F108" s="54">
        <f t="shared" si="3"/>
        <v>502.50000000000006</v>
      </c>
      <c r="G108" s="155">
        <v>0</v>
      </c>
      <c r="H108" s="155">
        <v>10</v>
      </c>
      <c r="I108" s="53"/>
      <c r="J108" s="26">
        <f t="shared" si="4"/>
        <v>0</v>
      </c>
      <c r="K108" s="26">
        <f t="shared" si="5"/>
        <v>50.250000000000007</v>
      </c>
      <c r="L108" s="26">
        <f t="shared" si="6"/>
        <v>10.050000000000001</v>
      </c>
      <c r="M108" s="26">
        <f t="shared" si="7"/>
        <v>3.7687500000000003</v>
      </c>
      <c r="N108" s="162">
        <v>17</v>
      </c>
    </row>
    <row r="109" spans="1:14" ht="15" x14ac:dyDescent="0.25">
      <c r="A109" s="153" t="s">
        <v>25</v>
      </c>
      <c r="B109" s="55"/>
      <c r="C109" s="154">
        <v>275</v>
      </c>
      <c r="D109" s="155">
        <v>1</v>
      </c>
      <c r="E109" s="155">
        <v>0.67</v>
      </c>
      <c r="F109" s="54">
        <f t="shared" si="3"/>
        <v>184.25</v>
      </c>
      <c r="G109" s="155">
        <v>0</v>
      </c>
      <c r="H109" s="155">
        <v>10</v>
      </c>
      <c r="I109" s="53"/>
      <c r="J109" s="26">
        <f t="shared" si="4"/>
        <v>0</v>
      </c>
      <c r="K109" s="26">
        <f t="shared" si="5"/>
        <v>18.425000000000001</v>
      </c>
      <c r="L109" s="26">
        <f t="shared" si="6"/>
        <v>3.6850000000000001</v>
      </c>
      <c r="M109" s="26">
        <f t="shared" si="7"/>
        <v>1.381875</v>
      </c>
      <c r="N109" s="162">
        <v>3.75</v>
      </c>
    </row>
    <row r="110" spans="1:14" ht="15" x14ac:dyDescent="0.25">
      <c r="A110" s="153" t="s">
        <v>24</v>
      </c>
      <c r="B110" s="55"/>
      <c r="C110" s="154">
        <v>5350</v>
      </c>
      <c r="D110" s="155">
        <v>1</v>
      </c>
      <c r="E110" s="155">
        <v>0.67</v>
      </c>
      <c r="F110" s="54">
        <f t="shared" si="3"/>
        <v>3584.5</v>
      </c>
      <c r="G110" s="155">
        <v>10</v>
      </c>
      <c r="H110" s="155">
        <v>10</v>
      </c>
      <c r="I110" s="53"/>
      <c r="J110" s="26">
        <f t="shared" si="4"/>
        <v>358.45</v>
      </c>
      <c r="K110" s="26">
        <f t="shared" si="5"/>
        <v>322.60500000000002</v>
      </c>
      <c r="L110" s="26">
        <f t="shared" si="6"/>
        <v>71.690000000000012</v>
      </c>
      <c r="M110" s="26">
        <f t="shared" si="7"/>
        <v>26.883749999999999</v>
      </c>
      <c r="N110" s="162">
        <v>84.1666666666667</v>
      </c>
    </row>
    <row r="111" spans="1:14" s="48" customFormat="1" ht="15" x14ac:dyDescent="0.25">
      <c r="A111" s="156" t="s">
        <v>23</v>
      </c>
      <c r="B111" s="51"/>
      <c r="C111" s="157">
        <v>15000</v>
      </c>
      <c r="D111" s="158">
        <v>1</v>
      </c>
      <c r="E111" s="158">
        <v>0.1</v>
      </c>
      <c r="F111" s="50">
        <f t="shared" si="3"/>
        <v>1500</v>
      </c>
      <c r="G111" s="158">
        <v>25</v>
      </c>
      <c r="H111" s="158">
        <v>10</v>
      </c>
      <c r="I111" s="45"/>
      <c r="J111" s="49">
        <f t="shared" si="4"/>
        <v>375</v>
      </c>
      <c r="K111" s="49">
        <f t="shared" si="5"/>
        <v>112.5</v>
      </c>
      <c r="L111" s="49">
        <f t="shared" si="6"/>
        <v>30</v>
      </c>
      <c r="M111" s="49">
        <f t="shared" si="7"/>
        <v>11.25</v>
      </c>
      <c r="N111" s="163">
        <v>84.1666666666667</v>
      </c>
    </row>
    <row r="112" spans="1:14" ht="15.6" thickBot="1" x14ac:dyDescent="0.3">
      <c r="A112" s="159" t="s">
        <v>22</v>
      </c>
      <c r="B112" s="47"/>
      <c r="C112" s="160">
        <v>23750</v>
      </c>
      <c r="D112" s="161">
        <v>1</v>
      </c>
      <c r="E112" s="161">
        <v>0.1</v>
      </c>
      <c r="F112" s="46">
        <f t="shared" si="3"/>
        <v>2375</v>
      </c>
      <c r="G112" s="161">
        <v>20</v>
      </c>
      <c r="H112" s="161">
        <v>7</v>
      </c>
      <c r="I112" s="45"/>
      <c r="J112" s="26">
        <f t="shared" si="4"/>
        <v>475</v>
      </c>
      <c r="K112" s="26">
        <f t="shared" si="5"/>
        <v>271.42857142857144</v>
      </c>
      <c r="L112" s="26">
        <f t="shared" si="6"/>
        <v>67.857142857142861</v>
      </c>
      <c r="M112" s="26">
        <f t="shared" si="7"/>
        <v>17.8125</v>
      </c>
      <c r="N112" s="44"/>
    </row>
    <row r="113" spans="1:27" ht="15.6" thickTop="1" x14ac:dyDescent="0.25">
      <c r="A113" s="43"/>
      <c r="B113" s="3"/>
      <c r="C113" s="3"/>
      <c r="D113" s="3"/>
      <c r="E113" s="3"/>
      <c r="F113" s="3"/>
      <c r="G113" s="3"/>
      <c r="H113" s="3"/>
      <c r="I113" s="3"/>
    </row>
    <row r="114" spans="1:27" ht="15" x14ac:dyDescent="0.25">
      <c r="A114" s="35" t="s">
        <v>21</v>
      </c>
      <c r="B114" s="3"/>
      <c r="C114" s="3"/>
      <c r="D114" s="3"/>
      <c r="E114" s="3"/>
      <c r="F114" s="42">
        <f>SUM(F105:F112)</f>
        <v>12467.75</v>
      </c>
      <c r="G114" s="3"/>
      <c r="H114" s="3"/>
      <c r="I114" s="3"/>
      <c r="J114" s="26">
        <f>SUM(J105:J112)</f>
        <v>1208.45</v>
      </c>
      <c r="K114" s="26">
        <f>SUM(K105:K112)</f>
        <v>1083.4085714285716</v>
      </c>
      <c r="L114" s="26">
        <f>SUM(L105:L112)</f>
        <v>244.92214285714286</v>
      </c>
      <c r="M114" s="26">
        <f>SUM(M105:M112)</f>
        <v>93.508124999999993</v>
      </c>
    </row>
    <row r="115" spans="1:27" ht="15" x14ac:dyDescent="0.25">
      <c r="A115" s="35"/>
      <c r="B115" s="3"/>
      <c r="C115" s="3"/>
      <c r="D115" s="3"/>
      <c r="E115" s="3"/>
      <c r="F115" s="41"/>
      <c r="G115" s="3"/>
      <c r="H115" s="3"/>
      <c r="I115" s="3"/>
      <c r="J115" s="26"/>
      <c r="K115" s="26"/>
      <c r="L115" s="26"/>
      <c r="M115" s="26"/>
    </row>
    <row r="116" spans="1:27" ht="15" x14ac:dyDescent="0.25">
      <c r="A116" s="35"/>
      <c r="B116" s="3"/>
      <c r="C116" s="3"/>
      <c r="D116" s="3"/>
      <c r="E116" s="3"/>
      <c r="F116" s="41"/>
      <c r="G116" s="3"/>
      <c r="H116" s="3"/>
      <c r="I116" s="3"/>
      <c r="J116" s="26"/>
      <c r="K116" s="26"/>
      <c r="L116" s="26"/>
      <c r="M116" s="26"/>
    </row>
    <row r="117" spans="1:27" ht="15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27" ht="15" x14ac:dyDescent="0.25">
      <c r="A118" s="3"/>
      <c r="B118" s="3"/>
      <c r="C118" s="40" t="s">
        <v>20</v>
      </c>
      <c r="D118" s="3"/>
      <c r="E118" s="3"/>
      <c r="F118" s="3"/>
      <c r="G118" s="3"/>
      <c r="H118" s="3"/>
      <c r="I118" s="3"/>
    </row>
    <row r="119" spans="1:27" ht="15" x14ac:dyDescent="0.25">
      <c r="A119" s="3"/>
      <c r="B119" s="3"/>
      <c r="C119" s="35" t="s">
        <v>19</v>
      </c>
      <c r="D119" s="3"/>
      <c r="E119" s="3"/>
      <c r="F119" s="3"/>
      <c r="G119" s="3"/>
      <c r="H119" s="3"/>
      <c r="I119" s="3"/>
    </row>
    <row r="120" spans="1:27" ht="15" x14ac:dyDescent="0.25">
      <c r="A120" s="3"/>
      <c r="B120" s="3"/>
      <c r="C120" s="35"/>
      <c r="D120" s="3"/>
      <c r="E120" s="3"/>
      <c r="F120" s="3"/>
      <c r="G120" s="3"/>
      <c r="H120" s="3"/>
      <c r="I120" s="3"/>
    </row>
    <row r="121" spans="1:27" ht="15" x14ac:dyDescent="0.25">
      <c r="A121" s="3"/>
      <c r="B121" s="20"/>
      <c r="C121" s="35"/>
      <c r="D121" s="3"/>
      <c r="E121" s="3"/>
      <c r="F121" s="3"/>
      <c r="G121" s="3"/>
      <c r="H121" s="3"/>
      <c r="I121" s="3"/>
    </row>
    <row r="122" spans="1:27" ht="15" x14ac:dyDescent="0.25">
      <c r="A122" s="3"/>
      <c r="B122" s="20" t="s">
        <v>18</v>
      </c>
      <c r="C122" s="7" t="s">
        <v>17</v>
      </c>
      <c r="D122" s="3"/>
      <c r="E122" s="3"/>
      <c r="F122" s="35" t="s">
        <v>16</v>
      </c>
      <c r="G122" s="3"/>
      <c r="H122" s="3"/>
      <c r="I122" s="3"/>
    </row>
    <row r="123" spans="1:27" ht="15" x14ac:dyDescent="0.25">
      <c r="A123" s="39">
        <f>A20</f>
        <v>400</v>
      </c>
      <c r="B123" s="35" t="s">
        <v>15</v>
      </c>
      <c r="C123" s="7" t="s">
        <v>14</v>
      </c>
      <c r="D123" s="3"/>
      <c r="E123" s="3"/>
      <c r="F123" s="3" t="s">
        <v>13</v>
      </c>
      <c r="G123" s="3"/>
      <c r="H123" s="3"/>
      <c r="I123" s="3"/>
    </row>
    <row r="124" spans="1:27" ht="15" x14ac:dyDescent="0.25">
      <c r="A124" s="3"/>
      <c r="B124" s="20" t="s">
        <v>11</v>
      </c>
      <c r="C124" s="7" t="s">
        <v>12</v>
      </c>
      <c r="D124" s="3"/>
      <c r="E124" s="3"/>
      <c r="F124" s="35" t="s">
        <v>11</v>
      </c>
      <c r="G124" s="3"/>
      <c r="H124" s="3"/>
      <c r="I124" s="3"/>
    </row>
    <row r="125" spans="1:27" ht="15" x14ac:dyDescent="0.25">
      <c r="A125" s="3"/>
      <c r="B125" s="38"/>
      <c r="C125" s="37" t="s">
        <v>10</v>
      </c>
      <c r="D125" s="3"/>
      <c r="E125" s="3"/>
      <c r="F125" s="36"/>
      <c r="G125" s="3"/>
      <c r="H125" s="3"/>
      <c r="I125" s="3"/>
    </row>
    <row r="126" spans="1:27" ht="15" x14ac:dyDescent="0.25">
      <c r="A126" s="3"/>
      <c r="B126" s="3"/>
      <c r="C126" s="7"/>
      <c r="D126" s="3"/>
      <c r="E126" s="3"/>
      <c r="F126" s="35"/>
      <c r="G126" s="3"/>
      <c r="H126" s="3"/>
      <c r="I126" s="3"/>
    </row>
    <row r="127" spans="1:27" ht="15" x14ac:dyDescent="0.25">
      <c r="A127" s="3"/>
      <c r="B127" s="3"/>
      <c r="C127" s="3"/>
      <c r="D127" s="34">
        <f>F127-10</f>
        <v>121</v>
      </c>
      <c r="E127" s="33">
        <f>F127-5</f>
        <v>126</v>
      </c>
      <c r="F127" s="33">
        <f>F33</f>
        <v>131</v>
      </c>
      <c r="G127" s="33">
        <f>F127+5</f>
        <v>136</v>
      </c>
      <c r="H127" s="33">
        <f>F127+10</f>
        <v>141</v>
      </c>
      <c r="I127" s="32"/>
    </row>
    <row r="128" spans="1:27" ht="15" x14ac:dyDescent="0.25">
      <c r="A128" s="3"/>
      <c r="B128" s="3"/>
      <c r="C128" s="3"/>
      <c r="D128" s="31"/>
      <c r="E128" s="30"/>
      <c r="F128" s="30"/>
      <c r="G128" s="30"/>
      <c r="H128" s="29"/>
      <c r="I128" s="8"/>
      <c r="AA128" s="24" t="s">
        <v>9</v>
      </c>
    </row>
    <row r="129" spans="1:30" ht="15" x14ac:dyDescent="0.25">
      <c r="A129" s="3"/>
      <c r="B129" s="3"/>
      <c r="C129" s="8"/>
      <c r="D129" s="28" t="s">
        <v>8</v>
      </c>
      <c r="E129" s="27"/>
      <c r="F129" s="8"/>
      <c r="G129" s="8"/>
      <c r="H129" s="25"/>
      <c r="I129" s="8"/>
      <c r="AA129" s="24" t="s">
        <v>7</v>
      </c>
      <c r="AC129" s="26">
        <f>A18</f>
        <v>60</v>
      </c>
      <c r="AD129" s="24" t="s">
        <v>6</v>
      </c>
    </row>
    <row r="130" spans="1:30" ht="15" x14ac:dyDescent="0.25">
      <c r="A130" s="3"/>
      <c r="B130" s="3"/>
      <c r="C130" s="3"/>
      <c r="D130" s="22"/>
      <c r="E130" s="8"/>
      <c r="F130" s="8"/>
      <c r="G130" s="8"/>
      <c r="H130" s="25"/>
      <c r="I130" s="8"/>
      <c r="Z130" s="24" t="s">
        <v>5</v>
      </c>
    </row>
    <row r="131" spans="1:30" ht="15" x14ac:dyDescent="0.25">
      <c r="A131" s="3"/>
      <c r="B131" s="3"/>
      <c r="C131" s="19">
        <f>C145</f>
        <v>452</v>
      </c>
      <c r="D131" s="15">
        <f>(D$127*(($A$20+$C131)*0.01))-(($C$36*$E$36*$B$133+$G$37+$G$38+$G$40+$G$42+$G$39+$G$43+$G$44+$G$45+$G$46+$G$47+$G$61)/$C$33)-((($C$36*$E$36*$B$133+$G$39)*$C$22/365)+($G$37*($C$22+30)/365)+($G$42*(($C$22*0.67)/365))+(($G$40+$G$43+$G$44+$G$47)*($C$22*0.5)/365))*$F$48/$C$33</f>
        <v>-35.066954382400795</v>
      </c>
      <c r="E131" s="13">
        <f>(E$127*(($A$20+$C131)*0.01))-(($C$36*$E$36*$B$133+$G$37+$G$38+$G$40+$G$42+$G$39+$G$43+$G$44+$G$45+$G$46+$G$47+$G$61)/$C$33)-((($C$36*$E$36*$B$133+$G$39)*$C$22/365)+($G$37*($C$22+30)/365)+($G$42*(($C$22*0.67)/365))+(($G$40+$G$43+$G$44+$G$47)*($C$22*0.5)/365))*$F$48/$C$33</f>
        <v>7.5330456175993383</v>
      </c>
      <c r="F131" s="13">
        <f>(F$127*(($A$20+$C131)*0.01))-(($C$36*$E$36*$B$133+$G$37+$G$38+$G$40+$G$42+$G$39+$G$43+$G$44+$G$45+$G$46+$G$47+$G$61)/$C$33)-((($C$36*$E$36*$B$133+$G$39)*$C$22/365)+($G$37*($C$22+30)/365)+($G$42*(($C$22*0.67)/365))+(($G$40+$G$43+$G$44+$G$47)*($C$22*0.5)/365))*$F$48/$C$33</f>
        <v>50.133045617599251</v>
      </c>
      <c r="G131" s="13">
        <f>(G$127*(($A$20+$C131)*0.01))-(($C$36*$E$36*$B$133+$G$37+$G$38+$G$40+$G$42+$G$39+$G$43+$G$44+$G$45+$G$46+$G$47+$G$61)/$C$33)-((($C$36*$E$36*$B$133+$G$39)*$C$22/365)+($G$37*($C$22+30)/365)+($G$42*(($C$22*0.67)/365))+(($G$40+$G$43+$G$44+$G$47)*($C$22*0.5)/365))*$F$48/$C$33</f>
        <v>92.733045617599387</v>
      </c>
      <c r="H131" s="14">
        <f>(H$127*(($A$20+$C131)*0.01))-(($C$36*$E$36*$B$133+$G$37+$G$38+$G$40+$G$42+$G$39+$G$43+$G$44+$G$45+$G$46+$G$47+$G$61)/$C$33)-((($C$36*$E$36*$B$133+$G$39)*$C$22/365)+($G$37*($C$22+30)/365)+($G$42*(($C$22*0.67)/365))+(($G$40+$G$43+$G$44+$G$47)*($C$22*0.5)/365))*$F$48/$C$33</f>
        <v>135.33304561759928</v>
      </c>
      <c r="I131" s="13"/>
    </row>
    <row r="132" spans="1:30" ht="15" x14ac:dyDescent="0.25">
      <c r="A132" s="3"/>
      <c r="B132" s="3"/>
      <c r="C132" s="17"/>
      <c r="D132" s="15"/>
      <c r="E132" s="13"/>
      <c r="F132" s="13"/>
      <c r="G132" s="13"/>
      <c r="H132" s="14"/>
      <c r="I132" s="18"/>
    </row>
    <row r="133" spans="1:30" ht="15" x14ac:dyDescent="0.25">
      <c r="A133" s="3"/>
      <c r="B133" s="20">
        <f>B147-10</f>
        <v>158</v>
      </c>
      <c r="C133" s="19">
        <f>C147</f>
        <v>502</v>
      </c>
      <c r="D133" s="15">
        <f>(D$127*(($A$20+$C133)*0.01))-(($C$36*$E$36*$B$133+$G$37+$G$38+$G$40+$G$42+$G$39+$G$43+$G$44+$G$45+$G$46+$G$47+$G$61)/$C$33)-((($C$36*$E$36*$B$133+$G$39)*$C$22/365)+($G$37*($C$22+30)/365)+($G$42*(($C$22*0.67)/365))+(($G$40+$G$43+$G$44+$G$47)*($C$22*0.5)/365))*$F$48/$C$33</f>
        <v>25.433045617599202</v>
      </c>
      <c r="E133" s="13">
        <f>(E$127*(($A$20+$C133)*0.01))-(($C$36*$E$36*$B$133+$G$37+$G$38+$G$40+$G$42+$G$39+$G$43+$G$44+$G$45+$G$46+$G$47+$G$61)/$C$33)-((($C$36*$E$36*$B$133+$G$39)*$C$22/365)+($G$37*($C$22+30)/365)+($G$42*(($C$22*0.67)/365))+(($G$40+$G$43+$G$44+$G$47)*($C$22*0.5)/365))*$F$48/$C$33</f>
        <v>70.533045617599342</v>
      </c>
      <c r="F133" s="13">
        <f>(F$127*(($A$20+$C133)*0.01))-(($C$36*$E$36*$B$133+$G$37+$G$38+$G$40+$G$42+$G$39+$G$43+$G$44+$G$45+$G$46+$G$47+$G$61)/$C$33)-((($C$36*$E$36*$B$133+$G$39)*$C$22/365)+($G$37*($C$22+30)/365)+($G$42*(($C$22*0.67)/365))+(($G$40+$G$43+$G$44+$G$47)*($C$22*0.5)/365))*$F$48/$C$33</f>
        <v>115.63304561759925</v>
      </c>
      <c r="G133" s="13">
        <f>(G$127*(($A$20+$C133)*0.01))-(($C$36*$E$36*$B$133+$G$37+$G$38+$G$40+$G$42+$G$39+$G$43+$G$44+$G$45+$G$46+$G$47+$G$61)/$C$33)-((($C$36*$E$36*$B$133+$G$39)*$C$22/365)+($G$37*($C$22+30)/365)+($G$42*(($C$22*0.67)/365))+(($G$40+$G$43+$G$44+$G$47)*($C$22*0.5)/365))*$F$48/$C$33</f>
        <v>160.73304561759937</v>
      </c>
      <c r="H133" s="14">
        <f>(H$127*(($A$20+$C133)*0.01))-(($C$36*$E$36*$B$133+$G$37+$G$38+$G$40+$G$42+$G$39+$G$43+$G$44+$G$45+$G$46+$G$47+$G$61)/$C$33)-((($C$36*$E$36*$B$133+$G$39)*$C$22/365)+($G$37*($C$22+30)/365)+($G$42*(($C$22*0.67)/365))+(($G$40+$G$43+$G$44+$G$47)*($C$22*0.5)/365))*$F$48/$C$33</f>
        <v>205.83304561759928</v>
      </c>
      <c r="I133" s="13"/>
    </row>
    <row r="134" spans="1:30" ht="15" x14ac:dyDescent="0.25">
      <c r="A134" s="3"/>
      <c r="B134" s="17"/>
      <c r="C134" s="17"/>
      <c r="D134" s="15"/>
      <c r="E134" s="13"/>
      <c r="F134" s="13"/>
      <c r="G134" s="13"/>
      <c r="H134" s="14"/>
      <c r="I134" s="18"/>
    </row>
    <row r="135" spans="1:30" ht="15" x14ac:dyDescent="0.25">
      <c r="A135" s="3"/>
      <c r="B135" s="17"/>
      <c r="C135" s="19">
        <f>C149</f>
        <v>552</v>
      </c>
      <c r="D135" s="15">
        <f>(D$127*(($A$20+$C135)*0.01))-(($C$36*$E$36*$B$133+$G$37+$G$38+$G$40+$G$42+$G$39+$G$43+$G$44+$G$45+$G$46+$G$47+$G$61)/$C$33)-((($C$36*$E$36*$B$133+$G$39)*$C$22/365)+($G$37*($C$22+30)/365)+($G$42*(($C$22*0.67)/365))+(($G$40+$G$43+$G$44+$G$47)*($C$22*0.5)/365))*$F$48/$C$33</f>
        <v>85.933045617599205</v>
      </c>
      <c r="E135" s="13">
        <f>(E$127*(($A$20+$C135)*0.01))-(($C$36*$E$36*$B$133+$G$37+$G$38+$G$40+$G$42+$G$39+$G$43+$G$44+$G$45+$G$46+$G$47+$G$61)/$C$33)-((($C$36*$E$36*$B$133+$G$39)*$C$22/365)+($G$37*($C$22+30)/365)+($G$42*(($C$22*0.67)/365))+(($G$40+$G$43+$G$44+$G$47)*($C$22*0.5)/365))*$F$48/$C$33</f>
        <v>133.53304561759933</v>
      </c>
      <c r="F135" s="13">
        <f>(F$127*(($A$20+$C135)*0.01))-(($C$36*$E$36*$B$133+$G$37+$G$38+$G$40+$G$42+$G$39+$G$43+$G$44+$G$45+$G$46+$G$47+$G$61)/$C$33)-((($C$36*$E$36*$B$133+$G$39)*$C$22/365)+($G$37*($C$22+30)/365)+($G$42*(($C$22*0.67)/365))+(($G$40+$G$43+$G$44+$G$47)*($C$22*0.5)/365))*$F$48/$C$33</f>
        <v>181.13304561759924</v>
      </c>
      <c r="G135" s="13">
        <f>(G$127*(($A$20+$C135)*0.01))-(($C$36*$E$36*$B$133+$G$37+$G$38+$G$40+$G$42+$G$39+$G$43+$G$44+$G$45+$G$46+$G$47+$G$61)/$C$33)-((($C$36*$E$36*$B$133+$G$39)*$C$22/365)+($G$37*($C$22+30)/365)+($G$42*(($C$22*0.67)/365))+(($G$40+$G$43+$G$44+$G$47)*($C$22*0.5)/365))*$F$48/$C$33</f>
        <v>228.73304561759937</v>
      </c>
      <c r="H135" s="14">
        <f>(H$127*(($A$20+$C135)*0.01))-(($C$36*$E$36*$B$133+$G$37+$G$38+$G$40+$G$42+$G$39+$G$43+$G$44+$G$45+$G$46+$G$47+$G$61)/$C$33)-((($C$36*$E$36*$B$133+$G$39)*$C$22/365)+($G$37*($C$22+30)/365)+($G$42*(($C$22*0.67)/365))+(($G$40+$G$43+$G$44+$G$47)*($C$22*0.5)/365))*$F$48/$C$33</f>
        <v>276.33304561759928</v>
      </c>
      <c r="I135" s="13"/>
    </row>
    <row r="136" spans="1:30" ht="15" x14ac:dyDescent="0.25">
      <c r="A136" s="3"/>
      <c r="B136" s="17"/>
      <c r="C136" s="17"/>
      <c r="D136" s="22"/>
      <c r="E136" s="18"/>
      <c r="F136" s="18"/>
      <c r="G136" s="18"/>
      <c r="H136" s="21"/>
      <c r="I136" s="18"/>
    </row>
    <row r="137" spans="1:30" ht="15" x14ac:dyDescent="0.25">
      <c r="A137" s="3"/>
      <c r="B137" s="17"/>
      <c r="C137" s="17"/>
      <c r="D137" s="22"/>
      <c r="E137" s="18"/>
      <c r="F137" s="18"/>
      <c r="G137" s="18"/>
      <c r="H137" s="21"/>
      <c r="I137" s="18"/>
    </row>
    <row r="138" spans="1:30" ht="15" x14ac:dyDescent="0.25">
      <c r="A138" s="3"/>
      <c r="B138" s="17"/>
      <c r="C138" s="19">
        <f>C145</f>
        <v>452</v>
      </c>
      <c r="D138" s="15">
        <f>(D$127*(($A$20+$C138)*0.01))-(($C$36*$E$36*$B$140+$G$37+$G$38+$G$40+$G$42+$G$39+$G$43+$G$44+$G$45+$G$46+$G$47+$G$61)/$C$33)-((($C$36*$E$36*$B$140+$G$39)*$C$22/365)+($G$37*($C$22+30)/365)+($G$42*(($C$22*0.67)/365))+(($G$40+$G$43+$G$44+$G$47)*($C$22*0.5)/365))*$F$48/$C$33</f>
        <v>-56.018893086835426</v>
      </c>
      <c r="E138" s="13">
        <f>(E$127*(($A$20+$C138)*0.01))-(($C$36*$E$36*$B$140+$G$37+$G$38+$G$40+$G$42+$G$39+$G$43+$G$44+$G$45+$G$46+$G$47+$G$61)/$C$33)-((($C$36*$E$36*$B$140+$G$39)*$C$22/365)+($G$37*($C$22+30)/365)+($G$42*(($C$22*0.67)/365))+(($G$40+$G$43+$G$44+$G$47)*($C$22*0.5)/365))*$F$48/$C$33</f>
        <v>-13.41889308683529</v>
      </c>
      <c r="F138" s="13">
        <f>(F$127*(($A$20+$C138)*0.01))-(($C$36*$E$36*$B$140+$G$37+$G$38+$G$40+$G$42+$G$39+$G$43+$G$44+$G$45+$G$46+$G$47+$G$61)/$C$33)-((($C$36*$E$36*$B$140+$G$39)*$C$22/365)+($G$37*($C$22+30)/365)+($G$42*(($C$22*0.67)/365))+(($G$40+$G$43+$G$44+$G$47)*($C$22*0.5)/365))*$F$48/$C$33</f>
        <v>29.181106913164619</v>
      </c>
      <c r="G138" s="13">
        <f>(G$127*(($A$20+$C138)*0.01))-(($C$36*$E$36*$B$140+$G$37+$G$38+$G$40+$G$42+$G$39+$G$43+$G$44+$G$45+$G$46+$G$47+$G$61)/$C$33)-((($C$36*$E$36*$B$140+$G$39)*$C$22/365)+($G$37*($C$22+30)/365)+($G$42*(($C$22*0.67)/365))+(($G$40+$G$43+$G$44+$G$47)*($C$22*0.5)/365))*$F$48/$C$33</f>
        <v>71.781106913164763</v>
      </c>
      <c r="H138" s="14">
        <f>(H$127*(($A$20+$C138)*0.01))-(($C$36*$E$36*$B$140+$G$37+$G$38+$G$40+$G$42+$G$39+$G$43+$G$44+$G$45+$G$46+$G$47+$G$61)/$C$33)-((($C$36*$E$36*$B$140+$G$39)*$C$22/365)+($G$37*($C$22+30)/365)+($G$42*(($C$22*0.67)/365))+(($G$40+$G$43+$G$44+$G$47)*($C$22*0.5)/365))*$F$48/$C$33</f>
        <v>114.38110691316467</v>
      </c>
      <c r="I138" s="13"/>
    </row>
    <row r="139" spans="1:30" ht="15" x14ac:dyDescent="0.25">
      <c r="A139" s="3"/>
      <c r="B139" s="17"/>
      <c r="C139" s="17"/>
      <c r="D139" s="15"/>
      <c r="E139" s="13"/>
      <c r="F139" s="13"/>
      <c r="G139" s="13"/>
      <c r="H139" s="14"/>
      <c r="I139" s="18"/>
    </row>
    <row r="140" spans="1:30" ht="15" x14ac:dyDescent="0.25">
      <c r="A140" s="3"/>
      <c r="B140" s="20">
        <f>B147-5</f>
        <v>163</v>
      </c>
      <c r="C140" s="19">
        <f>C147</f>
        <v>502</v>
      </c>
      <c r="D140" s="15">
        <f>(D$127*(($A$20+$C140)*0.01))-(($C$36*$E$36*$B$140+$G$37+$G$38+$G$40+$G$42+$G$39+$G$43+$G$44+$G$45+$G$46+$G$47+$G$61)/$C$33)-((($C$36*$E$36*$B$140+$G$39)*$C$22/365)+($G$37*($C$22+30)/365)+($G$42*(($C$22*0.67)/365))+(($G$40+$G$43+$G$44+$G$47)*($C$22*0.5)/365))*$F$48/$C$33</f>
        <v>4.4811069131645738</v>
      </c>
      <c r="E140" s="13">
        <f>(E$127*(($A$20+$C140)*0.01))-(($C$36*$E$36*$B$140+$G$37+$G$38+$G$40+$G$42+$G$39+$G$43+$G$44+$G$45+$G$46+$G$47+$G$61)/$C$33)-((($C$36*$E$36*$B$140+$G$39)*$C$22/365)+($G$37*($C$22+30)/365)+($G$42*(($C$22*0.67)/365))+(($G$40+$G$43+$G$44+$G$47)*($C$22*0.5)/365))*$F$48/$C$33</f>
        <v>49.58110691316471</v>
      </c>
      <c r="F140" s="13">
        <f>(F$127*(($A$20+$C140)*0.01))-(($C$36*$E$36*$B$140+$G$37+$G$38+$G$40+$G$42+$G$39+$G$43+$G$44+$G$45+$G$46+$G$47+$G$61)/$C$33)-((($C$36*$E$36*$B$140+$G$39)*$C$22/365)+($G$37*($C$22+30)/365)+($G$42*(($C$22*0.67)/365))+(($G$40+$G$43+$G$44+$G$47)*($C$22*0.5)/365))*$F$48/$C$33</f>
        <v>94.681106913164626</v>
      </c>
      <c r="G140" s="13">
        <f>(G$127*(($A$20+$C140)*0.01))-(($C$36*$E$36*$B$140+$G$37+$G$38+$G$40+$G$42+$G$39+$G$43+$G$44+$G$45+$G$46+$G$47+$G$61)/$C$33)-((($C$36*$E$36*$B$140+$G$39)*$C$22/365)+($G$37*($C$22+30)/365)+($G$42*(($C$22*0.67)/365))+(($G$40+$G$43+$G$44+$G$47)*($C$22*0.5)/365))*$F$48/$C$33</f>
        <v>139.78110691316476</v>
      </c>
      <c r="H140" s="14">
        <f>(H$127*(($A$20+$C140)*0.01))-(($C$36*$E$36*$B$140+$G$37+$G$38+$G$40+$G$42+$G$39+$G$43+$G$44+$G$45+$G$46+$G$47+$G$61)/$C$33)-((($C$36*$E$36*$B$140+$G$39)*$C$22/365)+($G$37*($C$22+30)/365)+($G$42*(($C$22*0.67)/365))+(($G$40+$G$43+$G$44+$G$47)*($C$22*0.5)/365))*$F$48/$C$33</f>
        <v>184.88110691316467</v>
      </c>
      <c r="I140" s="13"/>
    </row>
    <row r="141" spans="1:30" ht="15" x14ac:dyDescent="0.25">
      <c r="A141" s="3"/>
      <c r="B141" s="17"/>
      <c r="C141" s="17"/>
      <c r="D141" s="15"/>
      <c r="E141" s="13"/>
      <c r="F141" s="13"/>
      <c r="G141" s="13"/>
      <c r="H141" s="14"/>
      <c r="I141" s="18"/>
    </row>
    <row r="142" spans="1:30" ht="15" x14ac:dyDescent="0.25">
      <c r="A142" s="3"/>
      <c r="B142" s="17"/>
      <c r="C142" s="19">
        <f>C149</f>
        <v>552</v>
      </c>
      <c r="D142" s="15">
        <f>(D$127*(($A$20+$C142)*0.01))-(($C$36*$E$36*$B$140+$G$37+$G$38+$G$40+$G$42+$G$39+$G$43+$G$44+$G$45+$G$46+$G$47+$G$61)/$C$33)-((($C$36*$E$36*$B$140+$G$39)*$C$22/365)+($G$37*($C$22+30)/365)+($G$42*(($C$22*0.67)/365))+(($G$40+$G$43+$G$44+$G$47)*($C$22*0.5)/365))*$F$48/$C$33</f>
        <v>64.981106913164581</v>
      </c>
      <c r="E142" s="13">
        <f>(E$127*(($A$20+$C142)*0.01))-(($C$36*$E$36*$B$140+$G$37+$G$38+$G$40+$G$42+$G$39+$G$43+$G$44+$G$45+$G$46+$G$47+$G$61)/$C$33)-((($C$36*$E$36*$B$140+$G$39)*$C$22/365)+($G$37*($C$22+30)/365)+($G$42*(($C$22*0.67)/365))+(($G$40+$G$43+$G$44+$G$47)*($C$22*0.5)/365))*$F$48/$C$33</f>
        <v>112.58110691316472</v>
      </c>
      <c r="F142" s="13">
        <f>(F$127*(($A$20+$C142)*0.01))-(($C$36*$E$36*$B$140+$G$37+$G$38+$G$40+$G$42+$G$39+$G$43+$G$44+$G$45+$G$46+$G$47+$G$61)/$C$33)-((($C$36*$E$36*$B$140+$G$39)*$C$22/365)+($G$37*($C$22+30)/365)+($G$42*(($C$22*0.67)/365))+(($G$40+$G$43+$G$44+$G$47)*($C$22*0.5)/365))*$F$48/$C$33</f>
        <v>160.18110691316463</v>
      </c>
      <c r="G142" s="13">
        <f>(G$127*(($A$20+$C142)*0.01))-(($C$36*$E$36*$B$140+$G$37+$G$38+$G$40+$G$42+$G$39+$G$43+$G$44+$G$45+$G$46+$G$47+$G$61)/$C$33)-((($C$36*$E$36*$B$140+$G$39)*$C$22/365)+($G$37*($C$22+30)/365)+($G$42*(($C$22*0.67)/365))+(($G$40+$G$43+$G$44+$G$47)*($C$22*0.5)/365))*$F$48/$C$33</f>
        <v>207.78110691316476</v>
      </c>
      <c r="H142" s="14">
        <f>(H$127*(($A$20+$C142)*0.01))-(($C$36*$E$36*$B$140+$G$37+$G$38+$G$40+$G$42+$G$39+$G$43+$G$44+$G$45+$G$46+$G$47+$G$61)/$C$33)-((($C$36*$E$36*$B$140+$G$39)*$C$22/365)+($G$37*($C$22+30)/365)+($G$42*(($C$22*0.67)/365))+(($G$40+$G$43+$G$44+$G$47)*($C$22*0.5)/365))*$F$48/$C$33</f>
        <v>255.38110691316467</v>
      </c>
      <c r="I142" s="13"/>
    </row>
    <row r="143" spans="1:30" ht="15" x14ac:dyDescent="0.25">
      <c r="A143" s="3"/>
      <c r="B143" s="17"/>
      <c r="C143" s="17"/>
      <c r="D143" s="22"/>
      <c r="E143" s="18"/>
      <c r="F143" s="18"/>
      <c r="G143" s="18"/>
      <c r="H143" s="21"/>
      <c r="I143" s="18"/>
    </row>
    <row r="144" spans="1:30" ht="15" x14ac:dyDescent="0.25">
      <c r="A144" s="3"/>
      <c r="B144" s="17"/>
      <c r="C144" s="17"/>
      <c r="D144" s="22"/>
      <c r="E144" s="18"/>
      <c r="F144" s="18"/>
      <c r="G144" s="18"/>
      <c r="H144" s="21"/>
      <c r="I144" s="18"/>
    </row>
    <row r="145" spans="1:9" ht="15" x14ac:dyDescent="0.25">
      <c r="A145" s="3"/>
      <c r="B145" s="17"/>
      <c r="C145" s="19">
        <f>+C147-50</f>
        <v>452</v>
      </c>
      <c r="D145" s="15">
        <f>(D$127*(($A$20+$C145)*0.01))-(($C$36*$E$36*$B$147+$G$37+$G$38+$G$40+$G$42+$G$39+$G$43+$G$44+$G$45+$G$46+$G$47+$G$61)/$C$33)-((($C$36*$E$36*$B$147+$G$39)*$C$22/365)+($G$37*($C$22+30)/365)+($G$42*(($C$22*0.67)/365))+(($G$40+$G$43+$G$44+$G$47)*($C$22*0.5)/365))*$F$48/$C$33</f>
        <v>-76.970831791270058</v>
      </c>
      <c r="E145" s="13">
        <f>(E$127*(($A$20+$C145)*0.01))-(($C$36*$E$36*$B$147+$G$37+$G$38+$G$40+$G$42+$G$39+$G$43+$G$44+$G$45+$G$46+$G$47+$G$61)/$C$33)-((($C$36*$E$36*$B$147+$G$39)*$C$22/365)+($G$37*($C$22+30)/365)+($G$42*(($C$22*0.67)/365))+(($G$40+$G$43+$G$44+$G$47)*($C$22*0.5)/365))*$F$48/$C$33</f>
        <v>-34.370831791269921</v>
      </c>
      <c r="F145" s="13">
        <f>(F$127*(($A$20+$C145)*0.01))-(($C$36*$E$36*$B$147+$G$37+$G$38+$G$40+$G$42+$G$39+$G$43+$G$44+$G$45+$G$46+$G$47+$G$61)/$C$33)-((($C$36*$E$36*$B$147+$G$39)*$C$22/365)+($G$37*($C$22+30)/365)+($G$42*(($C$22*0.67)/365))+(($G$40+$G$43+$G$44+$G$47)*($C$22*0.5)/365))*$F$48/$C$33</f>
        <v>8.2291682087299876</v>
      </c>
      <c r="G145" s="13">
        <f>(G$127*(($A$20+$C145)*0.01))-(($C$36*$E$36*$B$147+$G$37+$G$38+$G$40+$G$42+$G$39+$G$43+$G$44+$G$45+$G$46+$G$47+$G$61)/$C$33)-((($C$36*$E$36*$B$147+$G$39)*$C$22/365)+($G$37*($C$22+30)/365)+($G$42*(($C$22*0.67)/365))+(($G$40+$G$43+$G$44+$G$47)*($C$22*0.5)/365))*$F$48/$C$33</f>
        <v>50.829168208730124</v>
      </c>
      <c r="H145" s="14">
        <f>(H$127*(($A$20+$C145)*0.01))-(($C$36*$E$36*$B$147+$G$37+$G$38+$G$40+$G$42+$G$39+$G$43+$G$44+$G$45+$G$46+$G$47+$G$61)/$C$33)-((($C$36*$E$36*$B$147+$G$39)*$C$22/365)+($G$37*($C$22+30)/365)+($G$42*(($C$22*0.67)/365))+(($G$40+$G$43+$G$44+$G$47)*($C$22*0.5)/365))*$F$48/$C$33</f>
        <v>93.429168208730033</v>
      </c>
      <c r="I145" s="13"/>
    </row>
    <row r="146" spans="1:9" ht="15.6" thickBot="1" x14ac:dyDescent="0.3">
      <c r="A146" s="3"/>
      <c r="B146" s="17"/>
      <c r="C146" s="17"/>
      <c r="D146" s="15"/>
      <c r="E146" s="13"/>
      <c r="F146" s="13"/>
      <c r="G146" s="13"/>
      <c r="H146" s="14"/>
      <c r="I146" s="18"/>
    </row>
    <row r="147" spans="1:9" ht="15.6" thickBot="1" x14ac:dyDescent="0.3">
      <c r="A147" s="3"/>
      <c r="B147" s="20">
        <f>F36</f>
        <v>168</v>
      </c>
      <c r="C147" s="19">
        <f>(C25-A20)</f>
        <v>502</v>
      </c>
      <c r="D147" s="15">
        <f>(D$127*(($A$20+$C147)*0.01))-(($C$36*$E$36*$B$147+$G$37+$G$38+$G$40+$G$42+$G$39+$G$43+$G$44+$G$45+$G$46+$G$47+$G$61)/$C$33)-((($C$36*$E$36*$B$147+$G$39)*$C$22/365)+($G$37*($C$22+30)/365)+($G$42*(($C$22*0.67)/365))+(($G$40+$G$43+$G$44+$G$47)*($C$22*0.5)/365))*$F$48/$C$33</f>
        <v>-16.470831791270058</v>
      </c>
      <c r="E147" s="13">
        <f>(E$127*(($A$20+$C147)*0.01))-(($C$36*$E$36*$B$147+$G$37+$G$38+$G$40+$G$42+$G$39+$G$43+$G$44+$G$45+$G$46+$G$47+$G$61)/$C$33)-((($C$36*$E$36*$B$147+$G$39)*$C$22/365)+($G$37*($C$22+30)/365)+($G$42*(($C$22*0.67)/365))+(($G$40+$G$43+$G$44+$G$47)*($C$22*0.5)/365))*$F$48/$C$33</f>
        <v>28.629168208730079</v>
      </c>
      <c r="F147" s="23">
        <f>(F$127*(($A$20+$C147)*0.01))-(($C$36*$E$36*$B$147+$G$37+$G$38+$G$40+$G$42+$G$39+$G$43+$G$44+$G$45+$G$46+$G$47+$G$61)/$C$33)-((($C$36*$E$36*$B$147+$G$39)*$C$22/365)+($G$37*($C$22+30)/365)+($G$42*(($C$22*0.67)/365))+(($G$40+$G$43+$G$44+$G$47)*($C$22*0.5)/365))*$F$48/$C$33</f>
        <v>73.729168208729988</v>
      </c>
      <c r="G147" s="13">
        <f>(G$127*(($A$20+$C147)*0.01))-(($C$36*$E$36*$B$147+$G$37+$G$38+$G$40+$G$42+$G$39+$G$43+$G$44+$G$45+$G$46+$G$47+$G$61)/$C$33)-((($C$36*$E$36*$B$147+$G$39)*$C$22/365)+($G$37*($C$22+30)/365)+($G$42*(($C$22*0.67)/365))+(($G$40+$G$43+$G$44+$G$47)*($C$22*0.5)/365))*$F$48/$C$33</f>
        <v>118.82916820873012</v>
      </c>
      <c r="H147" s="14">
        <f>(H$127*(($A$20+$C147)*0.01))-(($C$36*$E$36*$B$147+$G$37+$G$38+$G$40+$G$42+$G$39+$G$43+$G$44+$G$45+$G$46+$G$47+$G$61)/$C$33)-((($C$36*$E$36*$B$147+$G$39)*$C$22/365)+($G$37*($C$22+30)/365)+($G$42*(($C$22*0.67)/365))+(($G$40+$G$43+$G$44+$G$47)*($C$22*0.5)/365))*$F$48/$C$33</f>
        <v>163.92916820873003</v>
      </c>
      <c r="I147" s="13"/>
    </row>
    <row r="148" spans="1:9" ht="15" x14ac:dyDescent="0.25">
      <c r="A148" s="3"/>
      <c r="B148" s="17"/>
      <c r="C148" s="17"/>
      <c r="D148" s="15"/>
      <c r="E148" s="13"/>
      <c r="F148" s="13"/>
      <c r="G148" s="13"/>
      <c r="H148" s="14"/>
      <c r="I148" s="18"/>
    </row>
    <row r="149" spans="1:9" ht="15" x14ac:dyDescent="0.25">
      <c r="A149" s="3"/>
      <c r="B149" s="17"/>
      <c r="C149" s="19">
        <f>C147+50</f>
        <v>552</v>
      </c>
      <c r="D149" s="15">
        <f>(D$127*(($A$20+$C149)*0.01))-(($C$36*$E$36*$B$147+$G$37+$G$38+$G$40+$G$42+$G$39+$G$43+$G$44+$G$45+$G$46+$G$47+$G$61)/$C$33)-((($C$36*$E$36*$B$147+$G$39)*$C$22/365)+($G$37*($C$22+30)/365)+($G$42*(($C$22*0.67)/365))+(($G$40+$G$43+$G$44+$G$47)*($C$22*0.5)/365))*$F$48/$C$33</f>
        <v>44.029168208729942</v>
      </c>
      <c r="E149" s="13">
        <f>(E$127*(($A$20+$C149)*0.01))-(($C$36*$E$36*$B$147+$G$37+$G$38+$G$40+$G$42+$G$39+$G$43+$G$44+$G$45+$G$46+$G$47+$G$61)/$C$33)-((($C$36*$E$36*$B$147+$G$39)*$C$22/365)+($G$37*($C$22+30)/365)+($G$42*(($C$22*0.67)/365))+(($G$40+$G$43+$G$44+$G$47)*($C$22*0.5)/365))*$F$48/$C$33</f>
        <v>91.629168208730079</v>
      </c>
      <c r="F149" s="13">
        <f>(F$127*(($A$20+$C149)*0.01))-(($C$36*$E$36*$B$147+$G$37+$G$38+$G$40+$G$42+$G$39+$G$43+$G$44+$G$45+$G$46+$G$47+$G$61)/$C$33)-((($C$36*$E$36*$B$147+$G$39)*$C$22/365)+($G$37*($C$22+30)/365)+($G$42*(($C$22*0.67)/365))+(($G$40+$G$43+$G$44+$G$47)*($C$22*0.5)/365))*$F$48/$C$33</f>
        <v>139.22916820872999</v>
      </c>
      <c r="G149" s="13">
        <f>(G$127*(($A$20+$C149)*0.01))-(($C$36*$E$36*$B$147+$G$37+$G$38+$G$40+$G$42+$G$39+$G$43+$G$44+$G$45+$G$46+$G$47+$G$61)/$C$33)-((($C$36*$E$36*$B$147+$G$39)*$C$22/365)+($G$37*($C$22+30)/365)+($G$42*(($C$22*0.67)/365))+(($G$40+$G$43+$G$44+$G$47)*($C$22*0.5)/365))*$F$48/$C$33</f>
        <v>186.82916820873012</v>
      </c>
      <c r="H149" s="14">
        <f>(H$127*(($A$20+$C149)*0.01))-(($C$36*$E$36*$B$147+$G$37+$G$38+$G$40+$G$42+$G$39+$G$43+$G$44+$G$45+$G$46+$G$47+$G$61)/$C$33)-((($C$36*$E$36*$B$147+$G$39)*$C$22/365)+($G$37*($C$22+30)/365)+($G$42*(($C$22*0.67)/365))+(($G$40+$G$43+$G$44+$G$47)*($C$22*0.5)/365))*$F$48/$C$33</f>
        <v>234.42916820873003</v>
      </c>
      <c r="I149" s="13"/>
    </row>
    <row r="150" spans="1:9" ht="15" x14ac:dyDescent="0.25">
      <c r="A150" s="3"/>
      <c r="B150" s="17"/>
      <c r="C150" s="17"/>
      <c r="D150" s="22"/>
      <c r="E150" s="18"/>
      <c r="F150" s="18"/>
      <c r="G150" s="18"/>
      <c r="H150" s="21"/>
      <c r="I150" s="18"/>
    </row>
    <row r="151" spans="1:9" ht="15" x14ac:dyDescent="0.25">
      <c r="A151" s="3"/>
      <c r="B151" s="17"/>
      <c r="C151" s="17"/>
      <c r="D151" s="22"/>
      <c r="E151" s="18"/>
      <c r="F151" s="18"/>
      <c r="G151" s="18"/>
      <c r="H151" s="21"/>
      <c r="I151" s="18"/>
    </row>
    <row r="152" spans="1:9" ht="15" x14ac:dyDescent="0.25">
      <c r="A152" s="3"/>
      <c r="B152" s="17"/>
      <c r="C152" s="19">
        <f>C145</f>
        <v>452</v>
      </c>
      <c r="D152" s="15">
        <f>(D$127*(($A$20+$C152)*0.01))-(($C$36*$E$36*$B$154+$G$37+$G$38+$G$40+$G$42+$G$39+$G$43+$G$44+$G$45+$G$46+$G$47+$G$61)/$C$33)-((($C$36*$E$36*$B$154+$G$39)*$C$22/365)+($G$37*($C$22+30)/365)+($G$42*(($C$22*0.67)/365))+(($G$40+$G$43+$G$44+$G$47)*($C$22*0.5)/365))*$F$48/$C$33</f>
        <v>-97.922770495704683</v>
      </c>
      <c r="E152" s="13">
        <f>(E$127*(($A$20+$C152)*0.01))-(($C$36*$E$36*$B$154+$G$37+$G$38+$G$40+$G$42+$G$39+$G$43+$G$44+$G$45+$G$46+$G$47+$G$61)/$C$33)-((($C$36*$E$36*$B$154+$G$39)*$C$22/365)+($G$37*($C$22+30)/365)+($G$42*(($C$22*0.67)/365))+(($G$40+$G$43+$G$44+$G$47)*($C$22*0.5)/365))*$F$48/$C$33</f>
        <v>-55.322770495704546</v>
      </c>
      <c r="F152" s="13">
        <f>(F$127*(($A$20+$C152)*0.01))-(($C$36*$E$36*$B$154+$G$37+$G$38+$G$40+$G$42+$G$39+$G$43+$G$44+$G$45+$G$46+$G$47+$G$61)/$C$33)-((($C$36*$E$36*$B$154+$G$39)*$C$22/365)+($G$37*($C$22+30)/365)+($G$42*(($C$22*0.67)/365))+(($G$40+$G$43+$G$44+$G$47)*($C$22*0.5)/365))*$F$48/$C$33</f>
        <v>-12.722770495704637</v>
      </c>
      <c r="G152" s="13">
        <f>(G$127*(($A$20+$C152)*0.01))-(($C$36*$E$36*$B$154+$G$37+$G$38+$G$40+$G$42+$G$39+$G$43+$G$44+$G$45+$G$46+$G$47+$G$61)/$C$33)-((($C$36*$E$36*$B$154+$G$39)*$C$22/365)+($G$37*($C$22+30)/365)+($G$42*(($C$22*0.67)/365))+(($G$40+$G$43+$G$44+$G$47)*($C$22*0.5)/365))*$F$48/$C$33</f>
        <v>29.877229504295499</v>
      </c>
      <c r="H152" s="14">
        <f>(H$127*(($A$20+$C152)*0.01))-(($C$36*$E$36*$B$154+$G$37+$G$38+$G$40+$G$42+$G$39+$G$43+$G$44+$G$45+$G$46+$G$47+$G$61)/$C$33)-((($C$36*$E$36*$B$154+$G$39)*$C$22/365)+($G$37*($C$22+30)/365)+($G$42*(($C$22*0.67)/365))+(($G$40+$G$43+$G$44+$G$47)*($C$22*0.5)/365))*$F$48/$C$33</f>
        <v>72.477229504295408</v>
      </c>
      <c r="I152" s="13"/>
    </row>
    <row r="153" spans="1:9" ht="15" x14ac:dyDescent="0.25">
      <c r="A153" s="3"/>
      <c r="B153" s="17"/>
      <c r="C153" s="17"/>
      <c r="D153" s="15"/>
      <c r="E153" s="13"/>
      <c r="F153" s="13"/>
      <c r="G153" s="13"/>
      <c r="H153" s="14"/>
      <c r="I153" s="18"/>
    </row>
    <row r="154" spans="1:9" ht="15" x14ac:dyDescent="0.25">
      <c r="A154" s="3"/>
      <c r="B154" s="20">
        <f>B147+5</f>
        <v>173</v>
      </c>
      <c r="C154" s="19">
        <f>C147</f>
        <v>502</v>
      </c>
      <c r="D154" s="15">
        <f>(D$127*(($A$20+$C154)*0.01))-(($C$36*$E$36*$B$154+$G$37+$G$38+$G$40+$G$42+$G$39+$G$43+$G$44+$G$45+$G$46+$G$47+$G$61)/$C$33)-((($C$36*$E$36*$B$154+$G$39)*$C$22/365)+($G$37*($C$22+30)/365)+($G$42*(($C$22*0.67)/365))+(($G$40+$G$43+$G$44+$G$47)*($C$22*0.5)/365))*$F$48/$C$33</f>
        <v>-37.422770495704683</v>
      </c>
      <c r="E154" s="13">
        <f>(E$127*(($A$20+$C154)*0.01))-(($C$36*$E$36*$B$154+$G$37+$G$38+$G$40+$G$42+$G$39+$G$43+$G$44+$G$45+$G$46+$G$47+$G$61)/$C$33)-((($C$36*$E$36*$B$154+$G$39)*$C$22/365)+($G$37*($C$22+30)/365)+($G$42*(($C$22*0.67)/365))+(($G$40+$G$43+$G$44+$G$47)*($C$22*0.5)/365))*$F$48/$C$33</f>
        <v>7.6772295042954539</v>
      </c>
      <c r="F154" s="13">
        <f>(F$127*(($A$20+$C154)*0.01))-(($C$36*$E$36*$B$154+$G$37+$G$38+$G$40+$G$42+$G$39+$G$43+$G$44+$G$45+$G$46+$G$47+$G$61)/$C$33)-((($C$36*$E$36*$B$154+$G$39)*$C$22/365)+($G$37*($C$22+30)/365)+($G$42*(($C$22*0.67)/365))+(($G$40+$G$43+$G$44+$G$47)*($C$22*0.5)/365))*$F$48/$C$33</f>
        <v>52.777229504295363</v>
      </c>
      <c r="G154" s="13">
        <f>(G$127*(($A$20+$C154)*0.01))-(($C$36*$E$36*$B$154+$G$37+$G$38+$G$40+$G$42+$G$39+$G$43+$G$44+$G$45+$G$46+$G$47+$G$61)/$C$33)-((($C$36*$E$36*$B$154+$G$39)*$C$22/365)+($G$37*($C$22+30)/365)+($G$42*(($C$22*0.67)/365))+(($G$40+$G$43+$G$44+$G$47)*($C$22*0.5)/365))*$F$48/$C$33</f>
        <v>97.877229504295499</v>
      </c>
      <c r="H154" s="14">
        <f>(H$127*(($A$20+$C154)*0.01))-(($C$36*$E$36*$B$154+$G$37+$G$38+$G$40+$G$42+$G$39+$G$43+$G$44+$G$45+$G$46+$G$47+$G$61)/$C$33)-((($C$36*$E$36*$B$154+$G$39)*$C$22/365)+($G$37*($C$22+30)/365)+($G$42*(($C$22*0.67)/365))+(($G$40+$G$43+$G$44+$G$47)*($C$22*0.5)/365))*$F$48/$C$33</f>
        <v>142.97722950429539</v>
      </c>
      <c r="I154" s="13"/>
    </row>
    <row r="155" spans="1:9" ht="15" x14ac:dyDescent="0.25">
      <c r="A155" s="3"/>
      <c r="B155" s="17"/>
      <c r="C155" s="17"/>
      <c r="D155" s="15"/>
      <c r="E155" s="13"/>
      <c r="F155" s="13"/>
      <c r="G155" s="13"/>
      <c r="H155" s="14"/>
      <c r="I155" s="18"/>
    </row>
    <row r="156" spans="1:9" ht="15" x14ac:dyDescent="0.25">
      <c r="A156" s="3"/>
      <c r="B156" s="17"/>
      <c r="C156" s="19">
        <f>C149</f>
        <v>552</v>
      </c>
      <c r="D156" s="15">
        <f>(D$127*(($A$20+$C156)*0.01))-(($C$36*$E$36*$B$154+$G$37+$G$38+$G$40+$G$42+$G$39+$G$43+$G$44+$G$45+$G$46+$G$47+$G$61)/$C$33)-((($C$36*$E$36*$B$154+$G$39)*$C$22/365)+($G$37*($C$22+30)/365)+($G$42*(($C$22*0.67)/365))+(($G$40+$G$43+$G$44+$G$47)*($C$22*0.5)/365))*$F$48/$C$33</f>
        <v>23.077229504295317</v>
      </c>
      <c r="E156" s="13">
        <f>(E$127*(($A$20+$C156)*0.01))-(($C$36*$E$36*$B$154+$G$37+$G$38+$G$40+$G$42+$G$39+$G$43+$G$44+$G$45+$G$46+$G$47+$G$61)/$C$33)-((($C$36*$E$36*$B$154+$G$39)*$C$22/365)+($G$37*($C$22+30)/365)+($G$42*(($C$22*0.67)/365))+(($G$40+$G$43+$G$44+$G$47)*($C$22*0.5)/365))*$F$48/$C$33</f>
        <v>70.677229504295454</v>
      </c>
      <c r="F156" s="13">
        <f>(F$127*(($A$20+$C156)*0.01))-(($C$36*$E$36*$B$154+$G$37+$G$38+$G$40+$G$42+$G$39+$G$43+$G$44+$G$45+$G$46+$G$47+$G$61)/$C$33)-((($C$36*$E$36*$B$154+$G$39)*$C$22/365)+($G$37*($C$22+30)/365)+($G$42*(($C$22*0.67)/365))+(($G$40+$G$43+$G$44+$G$47)*($C$22*0.5)/365))*$F$48/$C$33</f>
        <v>118.27722950429536</v>
      </c>
      <c r="G156" s="13">
        <f>(G$127*(($A$20+$C156)*0.01))-(($C$36*$E$36*$B$154+$G$37+$G$38+$G$40+$G$42+$G$39+$G$43+$G$44+$G$45+$G$46+$G$47+$G$61)/$C$33)-((($C$36*$E$36*$B$154+$G$39)*$C$22/365)+($G$37*($C$22+30)/365)+($G$42*(($C$22*0.67)/365))+(($G$40+$G$43+$G$44+$G$47)*($C$22*0.5)/365))*$F$48/$C$33</f>
        <v>165.87722950429549</v>
      </c>
      <c r="H156" s="14">
        <f>(H$127*(($A$20+$C156)*0.01))-(($C$36*$E$36*$B$154+$G$37+$G$38+$G$40+$G$42+$G$39+$G$43+$G$44+$G$45+$G$46+$G$47+$G$61)/$C$33)-((($C$36*$E$36*$B$154+$G$39)*$C$22/365)+($G$37*($C$22+30)/365)+($G$42*(($C$22*0.67)/365))+(($G$40+$G$43+$G$44+$G$47)*($C$22*0.5)/365))*$F$48/$C$33</f>
        <v>213.47722950429539</v>
      </c>
      <c r="I156" s="13"/>
    </row>
    <row r="157" spans="1:9" ht="15" x14ac:dyDescent="0.25">
      <c r="A157" s="3"/>
      <c r="B157" s="17"/>
      <c r="C157" s="17"/>
      <c r="D157" s="22"/>
      <c r="E157" s="18"/>
      <c r="F157" s="18"/>
      <c r="G157" s="18"/>
      <c r="H157" s="21"/>
      <c r="I157" s="18"/>
    </row>
    <row r="158" spans="1:9" ht="15" x14ac:dyDescent="0.25">
      <c r="A158" s="3"/>
      <c r="B158" s="17"/>
      <c r="C158" s="17"/>
      <c r="D158" s="22"/>
      <c r="E158" s="18"/>
      <c r="F158" s="18"/>
      <c r="G158" s="18"/>
      <c r="H158" s="21"/>
      <c r="I158" s="18"/>
    </row>
    <row r="159" spans="1:9" ht="15" x14ac:dyDescent="0.25">
      <c r="A159" s="3"/>
      <c r="B159" s="17"/>
      <c r="C159" s="19">
        <f>C145</f>
        <v>452</v>
      </c>
      <c r="D159" s="15">
        <f>(D$127*(($A$20+$C159)*0.01))-(($C$36*$E$36*$B$161+$G$37+$G$38+$G$40+$G$42+$G$39+$G$43+$G$44+$G$45+$G$46+$G$47+$G$61)/$C$33)-((($C$36*$E$36*$B$161+$G$39)*$C$22/365)+($G$37*($C$22+30)/365)+($G$42*(($C$22*0.67)/365))+(($G$40+$G$43+$G$44+$G$47)*($C$22*0.5)/365))*$F$48/$C$33</f>
        <v>-118.87470920013953</v>
      </c>
      <c r="E159" s="13">
        <f>(E$127*(($A$20+$C159)*0.01))-(($C$36*$E$36*$B$161+$G$37+$G$38+$G$40+$G$42+$G$39+$G$43+$G$44+$G$45+$G$46+$G$47+$G$61)/$C$33)-((($C$36*$E$36*$B$161+$G$39)*$C$22/365)+($G$37*($C$22+30)/365)+($G$42*(($C$22*0.67)/365))+(($G$40+$G$43+$G$44+$G$47)*($C$22*0.5)/365))*$F$48/$C$33</f>
        <v>-76.274709200139398</v>
      </c>
      <c r="F159" s="13">
        <f>(F$127*(($A$20+$C159)*0.01))-(($C$36*$E$36*$B$161+$G$37+$G$38+$G$40+$G$42+$G$39+$G$43+$G$44+$G$45+$G$46+$G$47+$G$61)/$C$33)-((($C$36*$E$36*$B$161+$G$39)*$C$22/365)+($G$37*($C$22+30)/365)+($G$42*(($C$22*0.67)/365))+(($G$40+$G$43+$G$44+$G$47)*($C$22*0.5)/365))*$F$48/$C$33</f>
        <v>-33.674709200139496</v>
      </c>
      <c r="G159" s="13">
        <f>(G$127*(($A$20+$C159)*0.01))-(($C$36*$E$36*$B$161+$G$37+$G$38+$G$40+$G$42+$G$39+$G$43+$G$44+$G$45+$G$46+$G$47+$G$61)/$C$33)-((($C$36*$E$36*$B$161+$G$39)*$C$22/365)+($G$37*($C$22+30)/365)+($G$42*(($C$22*0.67)/365))+(($G$40+$G$43+$G$44+$G$47)*($C$22*0.5)/365))*$F$48/$C$33</f>
        <v>8.9252907998606403</v>
      </c>
      <c r="H159" s="14">
        <f>(H$127*(($A$20+$C159)*0.01))-(($C$36*$E$36*$B$161+$G$37+$G$38+$G$40+$G$42+$G$39+$G$43+$G$44+$G$45+$G$46+$G$47+$G$61)/$C$33)-((($C$36*$E$36*$B$161+$G$39)*$C$22/365)+($G$37*($C$22+30)/365)+($G$42*(($C$22*0.67)/365))+(($G$40+$G$43+$G$44+$G$47)*($C$22*0.5)/365))*$F$48/$C$33</f>
        <v>51.525290799860549</v>
      </c>
      <c r="I159" s="13"/>
    </row>
    <row r="160" spans="1:9" ht="15" x14ac:dyDescent="0.25">
      <c r="A160" s="3"/>
      <c r="B160" s="17"/>
      <c r="C160" s="17"/>
      <c r="D160" s="15"/>
      <c r="E160" s="13"/>
      <c r="F160" s="13"/>
      <c r="G160" s="13"/>
      <c r="H160" s="14"/>
      <c r="I160" s="18"/>
    </row>
    <row r="161" spans="1:9" ht="15" x14ac:dyDescent="0.25">
      <c r="A161" s="3"/>
      <c r="B161" s="20">
        <f>B147+10</f>
        <v>178</v>
      </c>
      <c r="C161" s="19">
        <f>C147</f>
        <v>502</v>
      </c>
      <c r="D161" s="15">
        <f>(D$127*(($A$20+$C161)*0.01))-(($C$36*$E$36*$B$161+$G$37+$G$38+$G$40+$G$42+$G$39+$G$43+$G$44+$G$45+$G$46+$G$47+$G$61)/$C$33)-((($C$36*$E$36*$B$161+$G$39)*$C$22/365)+($G$37*($C$22+30)/365)+($G$42*(($C$22*0.67)/365))+(($G$40+$G$43+$G$44+$G$47)*($C$22*0.5)/365))*$F$48/$C$33</f>
        <v>-58.374709200139542</v>
      </c>
      <c r="E161" s="13">
        <f>(E$127*(($A$20+$C161)*0.01))-(($C$36*$E$36*$B$161+$G$37+$G$38+$G$40+$G$42+$G$39+$G$43+$G$44+$G$45+$G$46+$G$47+$G$61)/$C$33)-((($C$36*$E$36*$B$161+$G$39)*$C$22/365)+($G$37*($C$22+30)/365)+($G$42*(($C$22*0.67)/365))+(($G$40+$G$43+$G$44+$G$47)*($C$22*0.5)/365))*$F$48/$C$33</f>
        <v>-13.274709200139405</v>
      </c>
      <c r="F161" s="13">
        <f>(F$127*(($A$20+$C161)*0.01))-(($C$36*$E$36*$B$161+$G$37+$G$38+$G$40+$G$42+$G$39+$G$43+$G$44+$G$45+$G$46+$G$47+$G$61)/$C$33)-((($C$36*$E$36*$B$161+$G$39)*$C$22/365)+($G$37*($C$22+30)/365)+($G$42*(($C$22*0.67)/365))+(($G$40+$G$43+$G$44+$G$47)*($C$22*0.5)/365))*$F$48/$C$33</f>
        <v>31.825290799860504</v>
      </c>
      <c r="G161" s="13">
        <f>(G$127*(($A$20+$C161)*0.01))-(($C$36*$E$36*$B$161+$G$37+$G$38+$G$40+$G$42+$G$39+$G$43+$G$44+$G$45+$G$46+$G$47+$G$61)/$C$33)-((($C$36*$E$36*$B$161+$G$39)*$C$22/365)+($G$37*($C$22+30)/365)+($G$42*(($C$22*0.67)/365))+(($G$40+$G$43+$G$44+$G$47)*($C$22*0.5)/365))*$F$48/$C$33</f>
        <v>76.925290799860647</v>
      </c>
      <c r="H161" s="14">
        <f>(H$127*(($A$20+$C161)*0.01))-(($C$36*$E$36*$B$161+$G$37+$G$38+$G$40+$G$42+$G$39+$G$43+$G$44+$G$45+$G$46+$G$47+$G$61)/$C$33)-((($C$36*$E$36*$B$161+$G$39)*$C$22/365)+($G$37*($C$22+30)/365)+($G$42*(($C$22*0.67)/365))+(($G$40+$G$43+$G$44+$G$47)*($C$22*0.5)/365))*$F$48/$C$33</f>
        <v>122.02529079986056</v>
      </c>
      <c r="I161" s="13"/>
    </row>
    <row r="162" spans="1:9" ht="15" x14ac:dyDescent="0.25">
      <c r="A162" s="3"/>
      <c r="B162" s="17"/>
      <c r="C162" s="17"/>
      <c r="D162" s="15"/>
      <c r="E162" s="13"/>
      <c r="F162" s="13"/>
      <c r="G162" s="13"/>
      <c r="H162" s="14"/>
      <c r="I162" s="18"/>
    </row>
    <row r="163" spans="1:9" ht="15" x14ac:dyDescent="0.25">
      <c r="A163" s="3"/>
      <c r="B163" s="17"/>
      <c r="C163" s="16">
        <f>C149</f>
        <v>552</v>
      </c>
      <c r="D163" s="15">
        <f>(D$127*(($A$20+$C163)*0.01))-(($C$36*$E$36*$B$161+$G$37+$G$38+$G$40+$G$42+$G$39+$G$43+$G$44+$G$45+$G$46+$G$47+$G$61)/$C$33)-((($C$36*$E$36*$B$161+$G$39)*$C$22/365)+($G$37*($C$22+30)/365)+($G$42*(($C$22*0.67)/365))+(($G$40+$G$43+$G$44+$G$47)*($C$22*0.5)/365))*$F$48/$C$33</f>
        <v>2.1252907998604584</v>
      </c>
      <c r="E163" s="13">
        <f>(E$127*(($A$20+$C163)*0.01))-(($C$36*$E$36*$B$161+$G$37+$G$38+$G$40+$G$42+$G$39+$G$43+$G$44+$G$45+$G$46+$G$47+$G$61)/$C$33)-((($C$36*$E$36*$B$161+$G$39)*$C$22/365)+($G$37*($C$22+30)/365)+($G$42*(($C$22*0.67)/365))+(($G$40+$G$43+$G$44+$G$47)*($C$22*0.5)/365))*$F$48/$C$33</f>
        <v>49.725290799860595</v>
      </c>
      <c r="F163" s="13">
        <f>(F$127*(($A$20+$C163)*0.01))-(($C$36*$E$36*$B$161+$G$37+$G$38+$G$40+$G$42+$G$39+$G$43+$G$44+$G$45+$G$46+$G$47+$G$61)/$C$33)-((($C$36*$E$36*$B$161+$G$39)*$C$22/365)+($G$37*($C$22+30)/365)+($G$42*(($C$22*0.67)/365))+(($G$40+$G$43+$G$44+$G$47)*($C$22*0.5)/365))*$F$48/$C$33</f>
        <v>97.325290799860511</v>
      </c>
      <c r="G163" s="13">
        <f>(G$127*(($A$20+$C163)*0.01))-(($C$36*$E$36*$B$161+$G$37+$G$38+$G$40+$G$42+$G$39+$G$43+$G$44+$G$45+$G$46+$G$47+$G$61)/$C$33)-((($C$36*$E$36*$B$161+$G$39)*$C$22/365)+($G$37*($C$22+30)/365)+($G$42*(($C$22*0.67)/365))+(($G$40+$G$43+$G$44+$G$47)*($C$22*0.5)/365))*$F$48/$C$33</f>
        <v>144.92529079986065</v>
      </c>
      <c r="H163" s="14">
        <f>(H$127*(($A$20+$C163)*0.01))-(($C$36*$E$36*$B$161+$G$37+$G$38+$G$40+$G$42+$G$39+$G$43+$G$44+$G$45+$G$46+$G$47+$G$61)/$C$33)-((($C$36*$E$36*$B$161+$G$39)*$C$22/365)+($G$37*($C$22+30)/365)+($G$42*(($C$22*0.67)/365))+(($G$40+$G$43+$G$44+$G$47)*($C$22*0.5)/365))*$F$48/$C$33</f>
        <v>192.52529079986056</v>
      </c>
      <c r="I163" s="13"/>
    </row>
    <row r="164" spans="1:9" ht="15" x14ac:dyDescent="0.25">
      <c r="A164" s="3"/>
      <c r="B164" s="3"/>
      <c r="C164" s="3"/>
      <c r="D164" s="12"/>
      <c r="E164" s="11"/>
      <c r="F164" s="10"/>
      <c r="G164" s="10"/>
      <c r="H164" s="9"/>
      <c r="I164" s="8"/>
    </row>
    <row r="165" spans="1:9" ht="15" x14ac:dyDescent="0.25">
      <c r="A165" s="3"/>
      <c r="B165" s="3"/>
      <c r="C165" s="3"/>
      <c r="D165" s="7" t="s">
        <v>4</v>
      </c>
      <c r="E165" s="3"/>
      <c r="F165" s="3"/>
      <c r="G165" s="3"/>
      <c r="H165" s="3"/>
      <c r="I165" s="3"/>
    </row>
    <row r="166" spans="1:9" ht="15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ht="15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ht="15" x14ac:dyDescent="0.25">
      <c r="A168" s="3"/>
      <c r="B168" s="5" t="s">
        <v>3</v>
      </c>
      <c r="C168" s="4"/>
      <c r="D168" s="4"/>
      <c r="E168" s="3"/>
      <c r="F168" s="3"/>
      <c r="G168" s="3"/>
      <c r="H168" s="3"/>
      <c r="I168" s="3"/>
    </row>
    <row r="169" spans="1:9" ht="15" x14ac:dyDescent="0.25">
      <c r="A169" s="3"/>
      <c r="B169" s="5" t="s">
        <v>2</v>
      </c>
      <c r="C169" s="4"/>
      <c r="D169" s="4"/>
      <c r="E169" s="3"/>
      <c r="F169" s="3"/>
      <c r="G169" s="3"/>
      <c r="H169" s="3"/>
      <c r="I169" s="3"/>
    </row>
    <row r="170" spans="1:9" ht="15" x14ac:dyDescent="0.25">
      <c r="A170" s="3"/>
      <c r="B170" s="6" t="s">
        <v>1</v>
      </c>
      <c r="C170" s="4"/>
      <c r="D170" s="4"/>
      <c r="E170" s="3"/>
      <c r="F170" s="3"/>
      <c r="G170" s="3"/>
      <c r="H170" s="3"/>
      <c r="I170" s="3"/>
    </row>
    <row r="171" spans="1:9" ht="15" x14ac:dyDescent="0.25">
      <c r="A171" s="3"/>
      <c r="B171" s="5" t="s">
        <v>0</v>
      </c>
      <c r="C171" s="4"/>
      <c r="D171" s="4"/>
      <c r="E171" s="3"/>
      <c r="F171" s="3"/>
      <c r="G171" s="3"/>
      <c r="H171" s="3"/>
      <c r="I171" s="3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</sheetData>
  <sheetProtection sheet="1" objects="1" scenarios="1" selectLockedCells="1"/>
  <printOptions horizontalCentered="1" verticalCentered="1"/>
  <pageMargins left="0.75" right="0.75" top="0.75" bottom="0.75" header="0.5" footer="0.5"/>
  <pageSetup scale="54" fitToHeight="2" orientation="portrait" r:id="rId1"/>
  <headerFooter alignWithMargins="0"/>
  <rowBreaks count="2" manualBreakCount="2">
    <brk id="93" max="8" man="1"/>
    <brk id="95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Grz w suppl 2017</vt:lpstr>
      <vt:lpstr>\AUTOEXEC</vt:lpstr>
      <vt:lpstr>\l</vt:lpstr>
      <vt:lpstr>\p</vt:lpstr>
      <vt:lpstr>BTABLE</vt:lpstr>
      <vt:lpstr>BTABLE1</vt:lpstr>
      <vt:lpstr>FOOT</vt:lpstr>
      <vt:lpstr>FOOT1</vt:lpstr>
      <vt:lpstr>FOOT2</vt:lpstr>
      <vt:lpstr>HELP</vt:lpstr>
      <vt:lpstr>INVEST</vt:lpstr>
      <vt:lpstr>LASERP</vt:lpstr>
      <vt:lpstr>'Grz w suppl 2017'!Print_Area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Kelley</dc:creator>
  <cp:lastModifiedBy>William Kelley</cp:lastModifiedBy>
  <dcterms:created xsi:type="dcterms:W3CDTF">2017-08-28T17:51:19Z</dcterms:created>
  <dcterms:modified xsi:type="dcterms:W3CDTF">2017-09-07T20:26:13Z</dcterms:modified>
</cp:coreProperties>
</file>