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https://d.docs.live.net/20f1a3d2fd5f5103/Desktop/2026/WRSARE/126report/"/>
    </mc:Choice>
  </mc:AlternateContent>
  <xr:revisionPtr revIDLastSave="0" documentId="8_{4A2B3D11-A11A-4A3A-9099-7AF74F74422D}" xr6:coauthVersionLast="47" xr6:coauthVersionMax="47" xr10:uidLastSave="{00000000-0000-0000-0000-000000000000}"/>
  <bookViews>
    <workbookView xWindow="-108" yWindow="-108" windowWidth="23256" windowHeight="13896" activeTab="1" xr2:uid="{00000000-000D-0000-FFFF-FFFF00000000}"/>
  </bookViews>
  <sheets>
    <sheet name="Budget items" sheetId="13" r:id="rId1"/>
    <sheet name="Sheet1" sheetId="15" r:id="rId2"/>
    <sheet name="MI&amp;E Calcs" sheetId="14" r:id="rId3"/>
    <sheet name="About" sheetId="12" r:id="rId4"/>
  </sheets>
  <definedNames>
    <definedName name="Display_Week" localSheetId="0">'Budget items'!$Q$2</definedName>
    <definedName name="Display_Week">#REF!</definedName>
    <definedName name="_xlnm.Print_Titles" localSheetId="0">'Budget items'!$4:$6</definedName>
    <definedName name="Project_Start" localSheetId="0">'Budget items'!$Q$1</definedName>
    <definedName name="Project_Start">#REF!</definedName>
    <definedName name="task_end" localSheetId="0">'Budget items'!$F1</definedName>
    <definedName name="task_end" localSheetId="2">'Budget items'!$F1</definedName>
    <definedName name="task_end" localSheetId="1">'Budget items'!$F1</definedName>
    <definedName name="task_progress" localSheetId="0">'Budget items'!$D1</definedName>
    <definedName name="task_progress" localSheetId="2">'Budget items'!$D1</definedName>
    <definedName name="task_progress" localSheetId="1">'Budget items'!$D1</definedName>
    <definedName name="task_start" localSheetId="0">'Budget items'!$E1</definedName>
    <definedName name="task_start" localSheetId="2">'Budget items'!$E1</definedName>
    <definedName name="task_start" localSheetId="1">'Budget items'!$E1</definedName>
    <definedName name="today" localSheetId="0">TODAY()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9" i="13" l="1"/>
  <c r="J53" i="13"/>
  <c r="J48" i="13"/>
  <c r="J39" i="13"/>
  <c r="J21" i="13"/>
  <c r="J31" i="13"/>
  <c r="F26" i="14" l="1"/>
  <c r="F27" i="14"/>
  <c r="H26" i="14"/>
  <c r="R34" i="14"/>
  <c r="Q30" i="14"/>
  <c r="P34" i="14" l="1"/>
  <c r="Q34" i="14" s="1"/>
  <c r="P30" i="14"/>
  <c r="P28" i="14"/>
  <c r="L28" i="14"/>
  <c r="P27" i="14"/>
  <c r="L27" i="14"/>
  <c r="P26" i="14"/>
  <c r="L26" i="14"/>
  <c r="R13" i="14"/>
  <c r="R20" i="14" s="1"/>
  <c r="R14" i="14"/>
  <c r="R15" i="14"/>
  <c r="R16" i="14"/>
  <c r="R12" i="14"/>
  <c r="P13" i="14"/>
  <c r="P14" i="14"/>
  <c r="P15" i="14"/>
  <c r="P16" i="14"/>
  <c r="P12" i="14"/>
  <c r="P20" i="14" s="1"/>
  <c r="I50" i="13"/>
  <c r="H45" i="14"/>
  <c r="E45" i="14"/>
  <c r="H44" i="14"/>
  <c r="H46" i="14" s="1"/>
  <c r="F44" i="14"/>
  <c r="E44" i="14"/>
  <c r="H40" i="14"/>
  <c r="E40" i="14"/>
  <c r="H39" i="14"/>
  <c r="F39" i="14"/>
  <c r="E39" i="14"/>
  <c r="H35" i="14"/>
  <c r="E35" i="14"/>
  <c r="H34" i="14"/>
  <c r="F34" i="14"/>
  <c r="E34" i="14"/>
  <c r="E29" i="14"/>
  <c r="E28" i="14"/>
  <c r="E27" i="14"/>
  <c r="E26" i="14"/>
  <c r="H19" i="14"/>
  <c r="E22" i="14"/>
  <c r="E21" i="14"/>
  <c r="E20" i="14"/>
  <c r="E19" i="14"/>
  <c r="E13" i="14"/>
  <c r="E14" i="14"/>
  <c r="E15" i="14"/>
  <c r="E12" i="14"/>
  <c r="F21" i="14"/>
  <c r="F22" i="14" s="1"/>
  <c r="F19" i="14"/>
  <c r="F20" i="14" s="1"/>
  <c r="F14" i="14"/>
  <c r="F15" i="14" s="1"/>
  <c r="F12" i="14"/>
  <c r="F13" i="14" s="1"/>
  <c r="H27" i="14"/>
  <c r="H28" i="14"/>
  <c r="H29" i="14"/>
  <c r="F28" i="14"/>
  <c r="F29" i="14" s="1"/>
  <c r="H20" i="14"/>
  <c r="H21" i="14"/>
  <c r="H22" i="14"/>
  <c r="H13" i="14"/>
  <c r="H14" i="14"/>
  <c r="H15" i="14"/>
  <c r="H12" i="14"/>
  <c r="F44" i="13"/>
  <c r="F36" i="13"/>
  <c r="F43" i="13"/>
  <c r="F35" i="13"/>
  <c r="F26" i="13"/>
  <c r="F25" i="13"/>
  <c r="H72" i="13"/>
  <c r="H71" i="13"/>
  <c r="E70" i="13"/>
  <c r="H68" i="13"/>
  <c r="H67" i="13"/>
  <c r="H66" i="13"/>
  <c r="F60" i="13"/>
  <c r="E62" i="13" s="1"/>
  <c r="F62" i="13" s="1"/>
  <c r="E63" i="13" s="1"/>
  <c r="F63" i="13" s="1"/>
  <c r="E64" i="13" s="1"/>
  <c r="F64" i="13" s="1"/>
  <c r="F54" i="13"/>
  <c r="E56" i="13" s="1"/>
  <c r="F56" i="13" s="1"/>
  <c r="E57" i="13" s="1"/>
  <c r="F57" i="13" s="1"/>
  <c r="E58" i="13" s="1"/>
  <c r="F58" i="13" s="1"/>
  <c r="F49" i="13"/>
  <c r="E50" i="13" s="1"/>
  <c r="F50" i="13" s="1"/>
  <c r="E51" i="13" s="1"/>
  <c r="F51" i="13" s="1"/>
  <c r="E52" i="13" s="1"/>
  <c r="F52" i="13" s="1"/>
  <c r="F46" i="13"/>
  <c r="F42" i="13"/>
  <c r="F40" i="13"/>
  <c r="E41" i="13" s="1"/>
  <c r="F41" i="13" s="1"/>
  <c r="F38" i="13"/>
  <c r="F34" i="13"/>
  <c r="F32" i="13"/>
  <c r="E35" i="13" s="1"/>
  <c r="F30" i="13"/>
  <c r="F29" i="13"/>
  <c r="F27" i="13"/>
  <c r="F22" i="13"/>
  <c r="E25" i="13" s="1"/>
  <c r="H21" i="13"/>
  <c r="F20" i="13"/>
  <c r="E18" i="13"/>
  <c r="E19" i="13" s="1"/>
  <c r="F19" i="13" s="1"/>
  <c r="F17" i="13"/>
  <c r="H17" i="13" s="1"/>
  <c r="H16" i="13"/>
  <c r="F14" i="13"/>
  <c r="H13" i="13"/>
  <c r="F13" i="13"/>
  <c r="F12" i="13"/>
  <c r="H12" i="13" s="1"/>
  <c r="F11" i="13"/>
  <c r="H11" i="13" s="1"/>
  <c r="H10" i="13"/>
  <c r="F10" i="13"/>
  <c r="E9" i="13"/>
  <c r="F9" i="13" s="1"/>
  <c r="H9" i="13" s="1"/>
  <c r="H8" i="13"/>
  <c r="H7" i="13"/>
  <c r="I5" i="13"/>
  <c r="I6" i="13" s="1"/>
  <c r="S20" i="14" l="1"/>
  <c r="I13" i="13" s="1"/>
  <c r="H36" i="14"/>
  <c r="H41" i="14"/>
  <c r="F40" i="14"/>
  <c r="F41" i="14" s="1"/>
  <c r="F45" i="14"/>
  <c r="F46" i="14" s="1"/>
  <c r="I46" i="14" s="1"/>
  <c r="F35" i="14"/>
  <c r="F36" i="14" s="1"/>
  <c r="I36" i="14" s="1"/>
  <c r="I62" i="13" s="1"/>
  <c r="H30" i="14"/>
  <c r="H16" i="14"/>
  <c r="F16" i="14"/>
  <c r="F30" i="14"/>
  <c r="H23" i="14"/>
  <c r="F23" i="14"/>
  <c r="E36" i="13"/>
  <c r="E37" i="13" s="1"/>
  <c r="F37" i="13" s="1"/>
  <c r="E43" i="13"/>
  <c r="E44" i="13" s="1"/>
  <c r="E45" i="13" s="1"/>
  <c r="F45" i="13" s="1"/>
  <c r="E55" i="13"/>
  <c r="F55" i="13" s="1"/>
  <c r="E26" i="13"/>
  <c r="H25" i="13"/>
  <c r="E61" i="13"/>
  <c r="F61" i="13" s="1"/>
  <c r="J5" i="13"/>
  <c r="H22" i="13"/>
  <c r="E33" i="13"/>
  <c r="F33" i="13" s="1"/>
  <c r="I4" i="13"/>
  <c r="F18" i="13"/>
  <c r="E23" i="13"/>
  <c r="F23" i="13" s="1"/>
  <c r="H18" i="13"/>
  <c r="F70" i="13"/>
  <c r="H70" i="13" s="1"/>
  <c r="I41" i="14" l="1"/>
  <c r="I56" i="13" s="1"/>
  <c r="I30" i="14"/>
  <c r="I43" i="13" s="1"/>
  <c r="I23" i="14"/>
  <c r="I35" i="13" s="1"/>
  <c r="I16" i="14"/>
  <c r="I25" i="13" s="1"/>
  <c r="K5" i="13"/>
  <c r="J6" i="13"/>
  <c r="E28" i="13"/>
  <c r="H26" i="13"/>
  <c r="I3" i="13" l="1"/>
  <c r="F28" i="13"/>
  <c r="H28" i="13" s="1"/>
  <c r="L5" i="13"/>
  <c r="K6" i="13"/>
  <c r="J3" i="13" l="1"/>
  <c r="K3" i="13" s="1"/>
  <c r="M5" i="13"/>
  <c r="L6" i="13"/>
  <c r="N5" i="13" l="1"/>
  <c r="M6" i="13"/>
  <c r="N6" i="13" l="1"/>
  <c r="O5" i="13"/>
  <c r="P5" i="13" l="1"/>
  <c r="O6" i="13"/>
  <c r="P4" i="13" l="1"/>
  <c r="Q5" i="13"/>
  <c r="P6" i="13"/>
  <c r="R5" i="13" l="1"/>
  <c r="Q6" i="13"/>
  <c r="S5" i="13" l="1"/>
  <c r="R6" i="13"/>
  <c r="T5" i="13" l="1"/>
  <c r="S6" i="13"/>
  <c r="U5" i="13" l="1"/>
  <c r="T6" i="13"/>
  <c r="V5" i="13" l="1"/>
  <c r="U6" i="13"/>
  <c r="W5" i="13" l="1"/>
  <c r="V6" i="13"/>
  <c r="W4" i="13" l="1"/>
  <c r="X5" i="13"/>
  <c r="W6" i="13"/>
  <c r="X6" i="13" l="1"/>
  <c r="Y5" i="13"/>
  <c r="Y6" i="13" l="1"/>
  <c r="Z5" i="13"/>
  <c r="AA5" i="13" l="1"/>
  <c r="Z6" i="13"/>
  <c r="AB5" i="13" l="1"/>
  <c r="AA6" i="13"/>
  <c r="AC5" i="13" l="1"/>
  <c r="AB6" i="13"/>
  <c r="AD5" i="13" l="1"/>
  <c r="AC6" i="13"/>
  <c r="AD6" i="13" l="1"/>
  <c r="AD4" i="13"/>
  <c r="AE5" i="13"/>
  <c r="AE6" i="13" l="1"/>
  <c r="AF5" i="13"/>
  <c r="AG5" i="13" l="1"/>
  <c r="AF6" i="13"/>
  <c r="AH5" i="13" l="1"/>
  <c r="AG6" i="13"/>
  <c r="AI5" i="13" l="1"/>
  <c r="AH6" i="13"/>
  <c r="AJ5" i="13" l="1"/>
  <c r="AI6" i="13"/>
  <c r="AK5" i="13" l="1"/>
  <c r="AJ6" i="13"/>
  <c r="AL5" i="13" l="1"/>
  <c r="AK6" i="13"/>
  <c r="AK4" i="13"/>
  <c r="AM5" i="13" l="1"/>
  <c r="AL6" i="13"/>
  <c r="AM6" i="13" l="1"/>
  <c r="AN5" i="13"/>
  <c r="AN6" i="13" l="1"/>
  <c r="AO5" i="13"/>
  <c r="AP5" i="13" l="1"/>
  <c r="AO6" i="13"/>
  <c r="AQ5" i="13" l="1"/>
  <c r="AP6" i="13"/>
  <c r="AR5" i="13" l="1"/>
  <c r="AQ6" i="13"/>
  <c r="AR4" i="13" l="1"/>
  <c r="AS5" i="13"/>
  <c r="AR6" i="13"/>
  <c r="AT5" i="13" l="1"/>
  <c r="AS6" i="13"/>
  <c r="AT6" i="13" l="1"/>
  <c r="AU5" i="13"/>
  <c r="AV5" i="13" l="1"/>
  <c r="AU6" i="13"/>
  <c r="AV6" i="13" l="1"/>
  <c r="AW5" i="13"/>
  <c r="AX5" i="13" l="1"/>
  <c r="AW6" i="13"/>
  <c r="AY5" i="13" l="1"/>
  <c r="AX6" i="13"/>
  <c r="AZ5" i="13" l="1"/>
  <c r="AY6" i="13"/>
  <c r="AY4" i="13"/>
  <c r="BA5" i="13" l="1"/>
  <c r="AZ6" i="13"/>
  <c r="BB5" i="13" l="1"/>
  <c r="BA6" i="13"/>
  <c r="BB6" i="13" l="1"/>
  <c r="BC5" i="13"/>
  <c r="BC6" i="13" l="1"/>
  <c r="BD5" i="13"/>
  <c r="BE5" i="13" l="1"/>
  <c r="BD6" i="13"/>
  <c r="BE6" i="13" l="1"/>
  <c r="BF5" i="13"/>
  <c r="BG5" i="13" l="1"/>
  <c r="BF6" i="13"/>
  <c r="BF4" i="13"/>
  <c r="BH5" i="13" l="1"/>
  <c r="BG6" i="13"/>
  <c r="BI5" i="13" l="1"/>
  <c r="BH6" i="13"/>
  <c r="BJ5" i="13" l="1"/>
  <c r="BI6" i="13"/>
  <c r="BK5" i="13" l="1"/>
  <c r="BJ6" i="13"/>
  <c r="BK6" i="13" l="1"/>
  <c r="BL5" i="13"/>
  <c r="BL6" i="13" s="1"/>
</calcChain>
</file>

<file path=xl/sharedStrings.xml><?xml version="1.0" encoding="utf-8"?>
<sst xmlns="http://schemas.openxmlformats.org/spreadsheetml/2006/main" count="481" uniqueCount="215">
  <si>
    <t>Insert new rows ABOVE this one</t>
  </si>
  <si>
    <t>PROGRESS</t>
  </si>
  <si>
    <t>Project Management Templates</t>
  </si>
  <si>
    <t>START</t>
  </si>
  <si>
    <t>END</t>
  </si>
  <si>
    <t>TASK</t>
  </si>
  <si>
    <t>More Project Management Templates</t>
  </si>
  <si>
    <t>About This Template</t>
  </si>
  <si>
    <t>SIMPLE GANTT CHART by Vertex42.com</t>
  </si>
  <si>
    <t>Additional Help</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</si>
  <si>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</si>
  <si>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</si>
  <si>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</si>
  <si>
    <t>https://www.vertex42.com/ExcelTemplates/simple-gantt-chart.html</t>
  </si>
  <si>
    <t>Visit Vertex42.com to download other project management templates, including different types of project schedules, Gantt charts, tasks lists, etc.</t>
  </si>
  <si>
    <t>How to Use the Simple Gantt Chart</t>
  </si>
  <si>
    <t>This template provides a simple way to create a Gantt chart to help visualize and track your project. Simply enter your tasks and start and end dates - no formulas required. The bars in the Gantt chart represent the duration of the task and are displayed using conditional formatting. Insert new tasks by inserting new rows.</t>
  </si>
  <si>
    <t>Click on the link below to visit vertex42.com and learn more about how to use this template, such as how to calculate days and work days, create task dependencies, change the colors of the bars, add a scroll bar to make it easier to change the display week, extend the date range displayed in the chart, etc.</t>
  </si>
  <si>
    <t>There are 2 worksheets in this workbook. 
TimeSheet
About
The instructions for each worksheet are in the A column starting in cell A1 of each worksheet. They are written with hidden text. Each step guides you through the information in that row. Each subsequent step continues in cell A2, A3, and so on, unless otherwise explicitly directed. For example, instruction text might say "continue to cell A6" for the next step. 
This hidden text will not print.
To remove these instructions from the worksheet, simply delete column A.</t>
  </si>
  <si>
    <t>Guide for Screen Readers</t>
  </si>
  <si>
    <t xml:space="preserve">Do not delete this row. This row is hidden to preserve a formula that is used to highlight the current day within the project schedule. </t>
  </si>
  <si>
    <t>Project start:</t>
  </si>
  <si>
    <t>Display week:</t>
  </si>
  <si>
    <t>ASSIGNED TO</t>
  </si>
  <si>
    <t>Evaluation</t>
  </si>
  <si>
    <t>Jeff Edwards</t>
  </si>
  <si>
    <t>Principal Investigator</t>
  </si>
  <si>
    <t xml:space="preserve">WSARE PDP Dome Schools </t>
  </si>
  <si>
    <t>Outline itinerary, Arrange Tour Stops</t>
  </si>
  <si>
    <t>Reserve travel van</t>
  </si>
  <si>
    <t>Tour</t>
  </si>
  <si>
    <t>Execute Conference/Tour</t>
  </si>
  <si>
    <t>Conference Tour Assesment Tool</t>
  </si>
  <si>
    <t>Kerry Richards</t>
  </si>
  <si>
    <t>Dome School Logistics</t>
  </si>
  <si>
    <t>Jeff Edwards in cooperation with local trainees</t>
  </si>
  <si>
    <t>Order non-locally available supplies and ship to dome school locations</t>
  </si>
  <si>
    <t>Track Budget</t>
  </si>
  <si>
    <t>Arange Hotel stays for tour participants</t>
  </si>
  <si>
    <t>Identify local sources for Tools and Supplies</t>
  </si>
  <si>
    <t>Confirm Datesand locations for Dome Schools 1-3</t>
  </si>
  <si>
    <t>Publicize Dome Schools 1-3 and invite local Dome School students</t>
  </si>
  <si>
    <t>Conduct Dome School #1</t>
  </si>
  <si>
    <t>Edwards</t>
  </si>
  <si>
    <t>Richards</t>
  </si>
  <si>
    <t>Additional Educational opportunities - repairs, growing in a dome, IPM, Irrigation, etc.</t>
  </si>
  <si>
    <t>School #1 Assement Tool</t>
  </si>
  <si>
    <t>Conduct Dome School #2</t>
  </si>
  <si>
    <t>School #2 Assement Tool</t>
  </si>
  <si>
    <t>At the conclusion of the 3rd School Trainees Graduate to Trainers</t>
  </si>
  <si>
    <t>Trainees 2 and 3</t>
  </si>
  <si>
    <t>Travel to #1 dome school location</t>
  </si>
  <si>
    <t>Return to home location</t>
  </si>
  <si>
    <t>Edwards, Richards</t>
  </si>
  <si>
    <t>Local trainees1,2,3</t>
  </si>
  <si>
    <t>Travel to #2 dome school location</t>
  </si>
  <si>
    <t>Trainees 1 and 3</t>
  </si>
  <si>
    <t>Edwards, Richards, Trainee 2</t>
  </si>
  <si>
    <t>Edwards, Richards, Trainee 3</t>
  </si>
  <si>
    <t>Travel to #3 dome school location</t>
  </si>
  <si>
    <t>Conduct Dome School #3</t>
  </si>
  <si>
    <t>Trainees 1 and 2</t>
  </si>
  <si>
    <t>Trainees 1, 2, and  3</t>
  </si>
  <si>
    <t>Trainees 1, 2, and 3</t>
  </si>
  <si>
    <t>Edwards &amp; Trainees 1, 2, and 3</t>
  </si>
  <si>
    <t>Schedule and promote Trainer Dome Schools</t>
  </si>
  <si>
    <t>Trainer 3 &amp; Edwards</t>
  </si>
  <si>
    <t>Trainer 3, Edwards, Richards</t>
  </si>
  <si>
    <t>Trainee School #3 Assement Tool</t>
  </si>
  <si>
    <t>Trainer School #3 Assement Tool</t>
  </si>
  <si>
    <t>Travel to Trainer #2 dome school location</t>
  </si>
  <si>
    <t>Trainer 2 &amp; Edwards</t>
  </si>
  <si>
    <t>Richards, Edwards</t>
  </si>
  <si>
    <t>Edwards, Richards, Trainer 2</t>
  </si>
  <si>
    <t>Travel to Trainer #1 dome school location</t>
  </si>
  <si>
    <t>Edwards, Richards, Trainer 1</t>
  </si>
  <si>
    <t>Trainer 1 &amp; Edwards</t>
  </si>
  <si>
    <t>Progress report Year 1</t>
  </si>
  <si>
    <t>Return Travel to home location</t>
  </si>
  <si>
    <t>Update UW Publication B-1322R to reflect pacific island psets and IPM management practices</t>
  </si>
  <si>
    <t>Year 2 Project assessment</t>
  </si>
  <si>
    <t xml:space="preserve">Summary SARE Report </t>
  </si>
  <si>
    <t>SEE IT (Conference Tour)</t>
  </si>
  <si>
    <t>Invite Trainees.  Trainees responsible for own flight arrangements to Denver for Arrival July 6th. Confirm participant list and head count</t>
  </si>
  <si>
    <t>UW Fleet van rental $170 per day * 5 = $850</t>
  </si>
  <si>
    <t>Purchase tools and all remaining supplies, Arrange local supply delivery, verify arrival of shipped supplies, prep school site</t>
  </si>
  <si>
    <t>see above included in line 18</t>
  </si>
  <si>
    <t xml:space="preserve">LEARN IT Trainees Dome School #1 (Kona) </t>
  </si>
  <si>
    <t>LEARN IT Trainees Dome School #2 (Maui)</t>
  </si>
  <si>
    <t>LEARN IT Trainees Dome School #3 (Guam)</t>
  </si>
  <si>
    <t>Airfare - Denver to Kona (1 way $400) and PA to Kona (1 way $400)</t>
  </si>
  <si>
    <t>see RT airfaare line 24</t>
  </si>
  <si>
    <t>Travel Kona to Maui 2X130</t>
  </si>
  <si>
    <t>Edwards, Richards, Trainee 1 (Kona)</t>
  </si>
  <si>
    <t>Trainees 2 (Maui) and 3 (Guam)</t>
  </si>
  <si>
    <t>Airfare Maui to Guam X2 $1686.00 (1 way)</t>
  </si>
  <si>
    <t xml:space="preserve">Travel from Maui and Kona to Guam ($1700 RT) and Trainees 1 and 2 </t>
  </si>
  <si>
    <t xml:space="preserve">Travel from Guam ($1700 RT) and Maui to Kona ($139 RT) for Trainees 1 and 3 </t>
  </si>
  <si>
    <t>included in line 42</t>
  </si>
  <si>
    <t>Included in line 34</t>
  </si>
  <si>
    <t>time?</t>
  </si>
  <si>
    <t>covered in line 26</t>
  </si>
  <si>
    <t>covered in line 34</t>
  </si>
  <si>
    <t>covered in line 43</t>
  </si>
  <si>
    <t>Kona</t>
  </si>
  <si>
    <t>Maui</t>
  </si>
  <si>
    <t>Guam</t>
  </si>
  <si>
    <t>Per Diem</t>
  </si>
  <si>
    <t>Hotel</t>
  </si>
  <si>
    <t>Trainee 2</t>
  </si>
  <si>
    <t>Trainee 3</t>
  </si>
  <si>
    <t>perdiem</t>
  </si>
  <si>
    <t>nights</t>
  </si>
  <si>
    <t>Purchase all remaining supplies, Arrange local supply delivery, verify arrival of shipped supplies, prep school site</t>
  </si>
  <si>
    <t>TEACH IT Trainer #3 Dome School (Guam)</t>
  </si>
  <si>
    <t>Trainer 3, Edwards &amp; Richards</t>
  </si>
  <si>
    <t>Edwards &amp; Richards</t>
  </si>
  <si>
    <t>Advertisement $50 per location (3)</t>
  </si>
  <si>
    <t>TEACH IT Trainer #2 Dome School (Maui)</t>
  </si>
  <si>
    <t>TEACH IT Trainer #1 Dome School (Kona)</t>
  </si>
  <si>
    <t>Full</t>
  </si>
  <si>
    <t>Total Days</t>
  </si>
  <si>
    <t>First &amp; Last</t>
  </si>
  <si>
    <t>Trainee 1</t>
  </si>
  <si>
    <t>Location</t>
  </si>
  <si>
    <t>Airfare Maui Kona  X2 $130 (1 way)</t>
  </si>
  <si>
    <t>TRAINEE SCHOOL</t>
  </si>
  <si>
    <t>TRAINER SCHOOL</t>
  </si>
  <si>
    <t>See notes on ME&amp;I Calc Tab (6 days per diem 5 nights hotel for Edwards/Richards and 2 trainees)</t>
  </si>
  <si>
    <t>See notes on ME&amp;I Calc Tab (6 days per diem 5 nights hotel for Edwards, Richards and 2 trainees)</t>
  </si>
  <si>
    <t>Wyoming</t>
  </si>
  <si>
    <t>See notes on ME&amp;I Calc Tab (5 days per diem 4 nights hotel for Edwards/Richards and 3 trainees)</t>
  </si>
  <si>
    <t>Sq.ft</t>
  </si>
  <si>
    <t>Description</t>
  </si>
  <si>
    <t>36X36 For Dome cover</t>
  </si>
  <si>
    <t>Count</t>
  </si>
  <si>
    <t>rate</t>
  </si>
  <si>
    <t>Amount</t>
  </si>
  <si>
    <t>6X8 door pieces</t>
  </si>
  <si>
    <t>8X50 Vent covers</t>
  </si>
  <si>
    <t>Skin Material</t>
  </si>
  <si>
    <t>Pickets</t>
  </si>
  <si>
    <t>Rate</t>
  </si>
  <si>
    <t>Unit</t>
  </si>
  <si>
    <t>Needed per structure</t>
  </si>
  <si>
    <t>Box of 7</t>
  </si>
  <si>
    <t>See notes on ME&amp;I Calc Tab (6 days per diem 5 nights hotel for Edwards and Richards)</t>
  </si>
  <si>
    <t xml:space="preserve">Travel from Guam ($1700 RT) and Maui to Kona ($134 RT) for Trainers 2 and 3 </t>
  </si>
  <si>
    <t>Supplies for dome  + tools</t>
  </si>
  <si>
    <t>Dome supplies</t>
  </si>
  <si>
    <t>Airfare Guam to Maui X2 $1686.00 (1 way)</t>
  </si>
  <si>
    <t>See notes on ME&amp;I Calc Tab (5 days per diem 4 nights hotel for Edwards/Richards and 2 trainees)</t>
  </si>
  <si>
    <t>UPDATES</t>
  </si>
  <si>
    <t>May 2025 - July  2025</t>
  </si>
  <si>
    <t>Status</t>
  </si>
  <si>
    <t>Completed</t>
  </si>
  <si>
    <t>April 2025 Due to federal funding concers tour date reschedule for back up dates August 5 - 7</t>
  </si>
  <si>
    <t>August 5 - 7</t>
  </si>
  <si>
    <t>Below budget due to Guam withdawingfrom the no longer attending and teachers return to school</t>
  </si>
  <si>
    <t xml:space="preserve">For supplies that were not available locally, supplies were sourced from suppliers used with previous dome schools. Since shipping to HI was expensive, those who were flying from the mainland transported the as a second checked bag, thus saving several thousand dollars. </t>
  </si>
  <si>
    <t>(</t>
  </si>
  <si>
    <t xml:space="preserve">With support from Jose Merianda,  Bolton, LLC was identified as a new grower.  Bolton generously offered to help source local supplies at their contractor rate. Cooperator Hawaii Western Alternative Learing Support and Services funded the purchase of tools. </t>
  </si>
  <si>
    <t xml:space="preserve">All local trainees publicized the dome scools and recruited participants. Participants for the school dome schools included students, teachers and administrators. </t>
  </si>
  <si>
    <t>Edwards,Trainee 1: Ben (ALPSS school Kona) Trainee #2 Jose Miranda</t>
  </si>
  <si>
    <t>Local trainees #1 Ben Duke,AALPS school  Local Tainee #2 Jose Mirenda               Local Trainee's  #3 and #4 Scott Hawaii Technical Academy (HTA)                                      Local Trainee #5 Peggy M Farms</t>
  </si>
  <si>
    <t xml:space="preserve">Edwards </t>
  </si>
  <si>
    <t xml:space="preserve">LEARN IT </t>
  </si>
  <si>
    <t xml:space="preserve">Dome School #2 Bolton Comost Facility </t>
  </si>
  <si>
    <t>Edwards, Richards, Trainee 2 Jose Miranda</t>
  </si>
  <si>
    <t>Trainees 1, 2,  3,4,5</t>
  </si>
  <si>
    <t xml:space="preserve">TEACH IT </t>
  </si>
  <si>
    <t>Trainer #1 and Trainer #2</t>
  </si>
  <si>
    <t>TEACH  School #1 Assement Tool</t>
  </si>
  <si>
    <t>TEACH IT</t>
  </si>
  <si>
    <t>Dome School  #1 Bolton Compost Faciity</t>
  </si>
  <si>
    <t xml:space="preserve">Dome School #3 Bolton Comost Facility </t>
  </si>
  <si>
    <t>ALPSS School and Staff</t>
  </si>
  <si>
    <t>Hawaii Technical Academy</t>
  </si>
  <si>
    <t xml:space="preserve">Conduct Dome School #3 Dome School Location </t>
  </si>
  <si>
    <t>Edwards, Richards, Trainer  2</t>
  </si>
  <si>
    <t>Conduct Dome LEARN IT School #2</t>
  </si>
  <si>
    <t>Conduct LEARN IT Dome School #1</t>
  </si>
  <si>
    <t>Conduct TEACH IT Dome School #2</t>
  </si>
  <si>
    <t>Conduct  TEACH IT Dome School #1</t>
  </si>
  <si>
    <t>Edwards, Trainers 1,2,3,4,5</t>
  </si>
  <si>
    <t>Edwards, Richards,Trainers 1,2,3,4,5</t>
  </si>
  <si>
    <t xml:space="preserve">Edwards, Trainers #2,, 3, and 5 </t>
  </si>
  <si>
    <t>School #3 Assement Tool</t>
  </si>
  <si>
    <t>Edwards, Richards, Trainer  5</t>
  </si>
  <si>
    <t>Edwards, Richards, Trainers 2 and 5</t>
  </si>
  <si>
    <t xml:space="preserve">Travel to TEACH IT Dome School #4 </t>
  </si>
  <si>
    <t>Dome School #4  H Farm</t>
  </si>
  <si>
    <t>Dome School #5 Volcano School of Arts and Sciences</t>
  </si>
  <si>
    <t>Edwards, Richards. Trainer 5</t>
  </si>
  <si>
    <t>Conduct  TEACH IT Dome School #4</t>
  </si>
  <si>
    <t>Edwards, Trainers #2,and 5</t>
  </si>
  <si>
    <t>Scheduled 2/1 - 2/5</t>
  </si>
  <si>
    <t>Scheduled 2/5 - 2/13</t>
  </si>
  <si>
    <t>Conduct Dome School #4</t>
  </si>
  <si>
    <t xml:space="preserve">Year 1 SARE Report </t>
  </si>
  <si>
    <t>Althought there were delays due to shipping, supplies were avaialbe in time to conduct dome schools, All supplies were delivered, picked up at local suppliers, or transported by Richards and Edwards.</t>
  </si>
  <si>
    <t>Due to some delays due to shipping, some supplies were not avaialbe in time to conduct dome schools, Therefore, trainers learned some aspects during TEACH IT dome schools. All supplies were delivered, picked up at local suppliers, or transported by Richards and Edwards.</t>
  </si>
  <si>
    <t xml:space="preserve">Due to some delays due to shipping, some supplies were not avaialbe in time to conduct dome schools, Therefore, trainers learned some aspects during TEACH IT dome schools. </t>
  </si>
  <si>
    <r>
      <rPr>
        <b/>
        <sz val="11"/>
        <color theme="1"/>
        <rFont val="Arial"/>
        <family val="2"/>
        <scheme val="minor"/>
      </rPr>
      <t>Dome School #  1</t>
    </r>
    <r>
      <rPr>
        <sz val="11"/>
        <color theme="1"/>
        <rFont val="Arial"/>
        <family val="2"/>
        <scheme val="minor"/>
      </rPr>
      <t xml:space="preserve"> confirmed for ALPSS  - December 2025                                                                                                               </t>
    </r>
    <r>
      <rPr>
        <b/>
        <sz val="11"/>
        <color theme="1"/>
        <rFont val="Arial"/>
        <family val="2"/>
        <scheme val="minor"/>
      </rPr>
      <t xml:space="preserve">Dome School #2 </t>
    </r>
    <r>
      <rPr>
        <sz val="11"/>
        <color theme="1"/>
        <rFont val="Arial"/>
        <family val="2"/>
        <scheme val="minor"/>
      </rPr>
      <t xml:space="preserve">Confirmed for Bolton Compost Facility January 3 - 15                                                                    </t>
    </r>
    <r>
      <rPr>
        <b/>
        <sz val="11"/>
        <color theme="1"/>
        <rFont val="Arial"/>
        <family val="2"/>
        <scheme val="minor"/>
      </rPr>
      <t>Dome School #3</t>
    </r>
    <r>
      <rPr>
        <sz val="11"/>
        <color theme="1"/>
        <rFont val="Arial"/>
        <family val="2"/>
        <scheme val="minor"/>
      </rPr>
      <t xml:space="preserve"> Comfirmed for Hawaii Technical Academy Janiary 16 - January 23                                                     </t>
    </r>
    <r>
      <rPr>
        <b/>
        <sz val="11"/>
        <color theme="1"/>
        <rFont val="Arial"/>
        <family val="2"/>
        <scheme val="minor"/>
      </rPr>
      <t>Dome Schools #'s 1,2,3                               Final Construction</t>
    </r>
    <r>
      <rPr>
        <sz val="11"/>
        <color theme="1"/>
        <rFont val="Arial"/>
        <family val="2"/>
        <scheme val="minor"/>
      </rPr>
      <t xml:space="preserve"> January 24 - January29,                                      </t>
    </r>
    <r>
      <rPr>
        <b/>
        <sz val="11"/>
        <color theme="1"/>
        <rFont val="Arial"/>
        <family val="2"/>
        <scheme val="minor"/>
      </rPr>
      <t>Dome School #4</t>
    </r>
    <r>
      <rPr>
        <sz val="11"/>
        <color theme="1"/>
        <rFont val="Arial"/>
        <family val="2"/>
        <scheme val="minor"/>
      </rPr>
      <t xml:space="preserve"> Confirmed for M Farm February 1 - February 4                                                                         </t>
    </r>
    <r>
      <rPr>
        <b/>
        <sz val="11"/>
        <color theme="1"/>
        <rFont val="Arial"/>
        <family val="2"/>
        <scheme val="minor"/>
      </rPr>
      <t xml:space="preserve">Dome School #5 </t>
    </r>
    <r>
      <rPr>
        <sz val="11"/>
        <color theme="1"/>
        <rFont val="Arial"/>
        <family val="2"/>
        <scheme val="minor"/>
      </rPr>
      <t>Confirmed for Volcano School of the Arts and Sciences Februry 5 -12</t>
    </r>
  </si>
  <si>
    <t>Dome School #1 ALPSS School Kona</t>
  </si>
  <si>
    <t>Supplies that were not available locally were purchased from suppliers from previous Wyoming dome schools. Due to high shipping costs, some supples were transported as luggage from the mainland which saved thousands of dollars.</t>
  </si>
  <si>
    <t>Local trainees               Trainee #1                 Ben Duke,AALPS school                    Tainee #2 Jose Mirenda                Trainee's  #3 and #4 Scott Hawaii Technical Academy (HTA)                                      Trainee #5 Peggy M Farms</t>
  </si>
  <si>
    <t xml:space="preserve">Assessment tool is completed  (see attached) not all assessents have been completed. </t>
  </si>
  <si>
    <t>Tool completed, however, not all assessments have been completed</t>
  </si>
  <si>
    <t xml:space="preserve">Dome construction manuals have been distributed to all participants to use as a resource for participantion and future dome construction. </t>
  </si>
  <si>
    <t xml:space="preserve">Over the course of the school 25 number of students, and educators participated in the school. Seven teachers and one administrator came out on a Saturday to help consturct the dome shell. </t>
  </si>
  <si>
    <t>Over the course of the school 19 students and teachers participated in the school.</t>
  </si>
  <si>
    <t>This dome school was conducted as part of classroom education, as a result 22 students and educators participated.</t>
  </si>
  <si>
    <t>Over the course of the school 40 different students,educators, and two community members participated in the school.</t>
  </si>
  <si>
    <t>Project Timeline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</si>
</sst>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quot;$&quot;* #,##0_);_(&quot;$&quot;* \(#,##0\);_(&quot;$&quot;* &quot;-&quot;_);_(@_)"/>
    <numFmt numFmtId="44" formatCode="_(&quot;$&quot;* #,##0.00_);_(&quot;$&quot;* \(#,##0.00\);_(&quot;$&quot;* &quot;-&quot;??_);_(@_)"/>
    <numFmt numFmtId="43" formatCode="_(* #,##0.00_);_(* \(#,##0.00\);_(* &quot;-&quot;??_);_(@_)"/>
    <numFmt numFmtId="164" formatCode="m/d/yy;@"/>
    <numFmt numFmtId="165" formatCode="ddd\,\ m/d/yyyy"/>
    <numFmt numFmtId="166" formatCode="mmm\ d\,\ yyyy"/>
    <numFmt numFmtId="167" formatCode="d"/>
  </numFmts>
  <fonts count="32" x14ac:knownFonts="1">
    <font>
      <sz val="11"/>
      <color theme="1"/>
      <name val="Arial"/>
      <family val="2"/>
      <scheme val="minor"/>
    </font>
    <font>
      <sz val="10"/>
      <name val="Arial"/>
      <family val="2"/>
      <scheme val="minor"/>
    </font>
    <font>
      <u/>
      <sz val="11"/>
      <color indexed="12"/>
      <name val="Arial"/>
      <family val="2"/>
    </font>
    <font>
      <sz val="11"/>
      <name val="Arial"/>
      <family val="2"/>
      <scheme val="minor"/>
    </font>
    <font>
      <sz val="11"/>
      <color theme="1"/>
      <name val="Arial"/>
      <family val="2"/>
      <scheme val="minor"/>
    </font>
    <font>
      <sz val="14"/>
      <color theme="1"/>
      <name val="Arial"/>
      <family val="2"/>
      <scheme val="minor"/>
    </font>
    <font>
      <b/>
      <sz val="22"/>
      <color theme="1" tint="0.34998626667073579"/>
      <name val="Arial Black"/>
      <family val="2"/>
      <scheme val="major"/>
    </font>
    <font>
      <b/>
      <sz val="11"/>
      <color theme="1" tint="0.499984740745262"/>
      <name val="Arial"/>
      <family val="2"/>
      <scheme val="minor"/>
    </font>
    <font>
      <sz val="10"/>
      <color theme="1" tint="0.499984740745262"/>
      <name val="Arial"/>
      <family val="2"/>
    </font>
    <font>
      <b/>
      <sz val="12"/>
      <color theme="1" tint="0.34998626667073579"/>
      <name val="Arial"/>
      <family val="2"/>
      <scheme val="minor"/>
    </font>
    <font>
      <b/>
      <sz val="10"/>
      <name val="Arial"/>
      <family val="2"/>
      <scheme val="minor"/>
    </font>
    <font>
      <sz val="11"/>
      <color theme="1" tint="0.499984740745262"/>
      <name val="Arial"/>
      <family val="2"/>
      <scheme val="minor"/>
    </font>
    <font>
      <sz val="20"/>
      <name val="Arial Black"/>
      <family val="2"/>
      <scheme val="major"/>
    </font>
    <font>
      <sz val="11"/>
      <color theme="0"/>
      <name val="Arial"/>
      <family val="2"/>
      <scheme val="minor"/>
    </font>
    <font>
      <sz val="11"/>
      <color theme="1"/>
      <name val="Arial"/>
      <family val="2"/>
    </font>
    <font>
      <sz val="16"/>
      <color theme="1"/>
      <name val="Arial"/>
      <family val="2"/>
      <scheme val="minor"/>
    </font>
    <font>
      <b/>
      <sz val="11"/>
      <name val="Arial"/>
      <family val="2"/>
      <scheme val="minor"/>
    </font>
    <font>
      <sz val="10"/>
      <color theme="1"/>
      <name val="Arial"/>
      <family val="2"/>
      <scheme val="minor"/>
    </font>
    <font>
      <b/>
      <sz val="10"/>
      <color theme="1"/>
      <name val="Arial"/>
      <family val="2"/>
      <scheme val="minor"/>
    </font>
    <font>
      <b/>
      <sz val="8"/>
      <name val="Arial"/>
      <family val="2"/>
      <scheme val="minor"/>
    </font>
    <font>
      <b/>
      <sz val="8"/>
      <color theme="1"/>
      <name val="Arial"/>
      <family val="2"/>
      <scheme val="minor"/>
    </font>
    <font>
      <b/>
      <sz val="12"/>
      <color theme="1"/>
      <name val="Arial"/>
      <family val="2"/>
      <scheme val="minor"/>
    </font>
    <font>
      <i/>
      <sz val="10"/>
      <color theme="1"/>
      <name val="Arial"/>
      <family val="2"/>
      <scheme val="minor"/>
    </font>
    <font>
      <sz val="10"/>
      <color theme="1" tint="0.499984740745262"/>
      <name val="Arial"/>
      <family val="2"/>
      <scheme val="minor"/>
    </font>
    <font>
      <b/>
      <sz val="16"/>
      <color theme="9"/>
      <name val="Arial"/>
      <family val="2"/>
      <scheme val="minor"/>
    </font>
    <font>
      <b/>
      <sz val="16"/>
      <color theme="9"/>
      <name val="Arial Black"/>
      <family val="2"/>
      <scheme val="major"/>
    </font>
    <font>
      <sz val="11"/>
      <color theme="1"/>
      <name val="Arial Black"/>
      <family val="2"/>
      <scheme val="major"/>
    </font>
    <font>
      <b/>
      <sz val="40"/>
      <color theme="9"/>
      <name val="Arial Black"/>
      <family val="2"/>
      <scheme val="major"/>
    </font>
    <font>
      <sz val="11"/>
      <color rgb="FF1D2129"/>
      <name val="Arial"/>
      <family val="2"/>
      <scheme val="minor"/>
    </font>
    <font>
      <u/>
      <sz val="11"/>
      <color indexed="12"/>
      <name val="Arial"/>
      <family val="2"/>
      <scheme val="minor"/>
    </font>
    <font>
      <b/>
      <sz val="11"/>
      <color theme="1"/>
      <name val="Arial"/>
      <family val="2"/>
      <scheme val="minor"/>
    </font>
    <font>
      <b/>
      <u/>
      <sz val="11"/>
      <color theme="1"/>
      <name val="Arial"/>
      <family val="2"/>
      <scheme val="minor"/>
    </font>
  </fonts>
  <fills count="13">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0" tint="-4.9989318521683403E-2"/>
        <bgColor theme="4"/>
      </patternFill>
    </fill>
    <fill>
      <patternFill patternType="solid">
        <fgColor theme="0" tint="-0.14996795556505021"/>
        <bgColor indexed="64"/>
      </patternFill>
    </fill>
  </fills>
  <borders count="24">
    <border>
      <left/>
      <right/>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3743705557422"/>
      </left>
      <right style="thin">
        <color theme="0" tint="-0.14993743705557422"/>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top style="thin">
        <color theme="5" tint="0.59996337778862885"/>
      </top>
      <bottom style="thin">
        <color theme="5" tint="0.59996337778862885"/>
      </bottom>
      <diagonal/>
    </border>
    <border>
      <left/>
      <right/>
      <top style="thin">
        <color theme="6" tint="0.59996337778862885"/>
      </top>
      <bottom style="thin">
        <color theme="6" tint="0.59996337778862885"/>
      </bottom>
      <diagonal/>
    </border>
    <border>
      <left/>
      <right/>
      <top style="thin">
        <color theme="8" tint="0.59996337778862885"/>
      </top>
      <bottom style="thin">
        <color theme="8" tint="0.59996337778862885"/>
      </bottom>
      <diagonal/>
    </border>
    <border>
      <left/>
      <right/>
      <top style="thin">
        <color theme="0" tint="-4.9989318521683403E-2"/>
      </top>
      <bottom style="thin">
        <color theme="0" tint="-4.9989318521683403E-2"/>
      </bottom>
      <diagonal/>
    </border>
    <border>
      <left/>
      <right/>
      <top/>
      <bottom style="thin">
        <color theme="0" tint="-4.9989318521683403E-2"/>
      </bottom>
      <diagonal/>
    </border>
    <border>
      <left/>
      <right/>
      <top style="thin">
        <color theme="0" tint="-4.9989318521683403E-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top/>
      <bottom style="thin">
        <color theme="1" tint="0.499984740745262"/>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4">
    <xf numFmtId="0" fontId="0" fillId="0" borderId="0"/>
    <xf numFmtId="0" fontId="2" fillId="0" borderId="0" applyNumberFormat="0" applyFill="0" applyBorder="0" applyAlignment="0" applyProtection="0">
      <alignment vertical="top"/>
      <protection locked="0"/>
    </xf>
    <xf numFmtId="9" fontId="4" fillId="0" borderId="0" applyFont="0" applyFill="0" applyBorder="0" applyAlignment="0" applyProtection="0"/>
    <xf numFmtId="0" fontId="13" fillId="0" borderId="0"/>
    <xf numFmtId="43" fontId="4" fillId="0" borderId="2" applyFont="0" applyFill="0" applyAlignment="0" applyProtection="0"/>
    <xf numFmtId="0" fontId="6" fillId="0" borderId="0" applyNumberFormat="0" applyFill="0" applyBorder="0" applyAlignment="0" applyProtection="0"/>
    <xf numFmtId="0" fontId="5" fillId="0" borderId="0" applyNumberFormat="0" applyFill="0" applyAlignment="0" applyProtection="0"/>
    <xf numFmtId="0" fontId="5" fillId="0" borderId="0" applyNumberFormat="0" applyFill="0" applyProtection="0">
      <alignment vertical="top"/>
    </xf>
    <xf numFmtId="0" fontId="4" fillId="0" borderId="0" applyNumberFormat="0" applyFill="0" applyProtection="0">
      <alignment horizontal="right" indent="1"/>
    </xf>
    <xf numFmtId="165" fontId="4" fillId="0" borderId="2">
      <alignment horizontal="center" vertical="center"/>
    </xf>
    <xf numFmtId="164" fontId="4" fillId="0" borderId="1" applyFill="0">
      <alignment horizontal="center" vertical="center"/>
    </xf>
    <xf numFmtId="0" fontId="4" fillId="0" borderId="1" applyFill="0">
      <alignment horizontal="center" vertical="center"/>
    </xf>
    <xf numFmtId="0" fontId="4" fillId="0" borderId="1" applyFill="0">
      <alignment horizontal="left" vertical="center" indent="2"/>
    </xf>
    <xf numFmtId="44" fontId="4" fillId="0" borderId="0" applyFont="0" applyFill="0" applyBorder="0" applyAlignment="0" applyProtection="0"/>
  </cellStyleXfs>
  <cellXfs count="177">
    <xf numFmtId="0" fontId="0" fillId="0" borderId="0" xfId="0"/>
    <xf numFmtId="0" fontId="1" fillId="0" borderId="0" xfId="0" applyFont="1"/>
    <xf numFmtId="0" fontId="0" fillId="0" borderId="0" xfId="0" applyAlignment="1">
      <alignment horizontal="center"/>
    </xf>
    <xf numFmtId="0" fontId="0" fillId="0" borderId="0" xfId="0" applyAlignment="1">
      <alignment horizontal="right" vertical="center"/>
    </xf>
    <xf numFmtId="0" fontId="8" fillId="0" borderId="0" xfId="1" applyFont="1" applyAlignment="1" applyProtection="1"/>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0" xfId="0"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xf>
    <xf numFmtId="0" fontId="12" fillId="0" borderId="0" xfId="0" applyFont="1"/>
    <xf numFmtId="0" fontId="1" fillId="0" borderId="0" xfId="0" applyFont="1" applyAlignment="1">
      <alignment horizontal="left" vertical="top"/>
    </xf>
    <xf numFmtId="0" fontId="11" fillId="0" borderId="0" xfId="0" applyFont="1" applyAlignment="1">
      <alignment vertical="top"/>
    </xf>
    <xf numFmtId="0" fontId="13" fillId="0" borderId="0" xfId="3"/>
    <xf numFmtId="0" fontId="13" fillId="0" borderId="0" xfId="3" applyAlignment="1">
      <alignment wrapText="1"/>
    </xf>
    <xf numFmtId="0" fontId="13" fillId="0" borderId="0" xfId="0" applyFont="1" applyAlignment="1">
      <alignment horizontal="center"/>
    </xf>
    <xf numFmtId="0" fontId="7" fillId="0" borderId="0" xfId="0" applyFont="1"/>
    <xf numFmtId="0" fontId="3" fillId="0" borderId="0" xfId="0" applyFont="1" applyAlignment="1">
      <alignment horizontal="center" vertical="center"/>
    </xf>
    <xf numFmtId="0" fontId="14" fillId="0" borderId="0" xfId="0" applyFont="1"/>
    <xf numFmtId="0" fontId="14" fillId="0" borderId="0" xfId="0" applyFont="1" applyAlignment="1">
      <alignment horizontal="center"/>
    </xf>
    <xf numFmtId="0" fontId="15" fillId="0" borderId="0" xfId="0" applyFont="1"/>
    <xf numFmtId="0" fontId="16" fillId="0" borderId="0" xfId="0" applyFont="1" applyAlignment="1">
      <alignment horizontal="left" indent="1"/>
    </xf>
    <xf numFmtId="0" fontId="4" fillId="0" borderId="0" xfId="0" applyFont="1"/>
    <xf numFmtId="0" fontId="4" fillId="0" borderId="0" xfId="8">
      <alignment horizontal="right" indent="1"/>
    </xf>
    <xf numFmtId="0" fontId="4" fillId="0" borderId="0" xfId="0" applyFont="1" applyAlignment="1">
      <alignment horizontal="center"/>
    </xf>
    <xf numFmtId="0" fontId="1" fillId="0" borderId="0" xfId="1" applyFont="1" applyAlignment="1" applyProtection="1">
      <alignment horizontal="left" vertical="top" indent="1"/>
    </xf>
    <xf numFmtId="0" fontId="4" fillId="0" borderId="0" xfId="0" applyFont="1" applyAlignment="1">
      <alignment horizontal="left" indent="1"/>
    </xf>
    <xf numFmtId="167" fontId="19" fillId="12" borderId="18" xfId="0" applyNumberFormat="1" applyFont="1" applyFill="1" applyBorder="1" applyAlignment="1">
      <alignment horizontal="center" vertical="center"/>
    </xf>
    <xf numFmtId="167" fontId="19" fillId="12" borderId="16" xfId="0" applyNumberFormat="1" applyFont="1" applyFill="1" applyBorder="1" applyAlignment="1">
      <alignment horizontal="center" vertical="center"/>
    </xf>
    <xf numFmtId="167" fontId="19" fillId="12" borderId="17" xfId="0" applyNumberFormat="1" applyFont="1" applyFill="1" applyBorder="1" applyAlignment="1">
      <alignment horizontal="center" vertical="center"/>
    </xf>
    <xf numFmtId="0" fontId="20" fillId="2" borderId="15" xfId="0" applyFont="1" applyFill="1" applyBorder="1" applyAlignment="1">
      <alignment horizontal="center" vertical="center" shrinkToFit="1"/>
    </xf>
    <xf numFmtId="0" fontId="20" fillId="2" borderId="12" xfId="0" applyFont="1" applyFill="1" applyBorder="1" applyAlignment="1">
      <alignment horizontal="center" vertical="center" shrinkToFit="1"/>
    </xf>
    <xf numFmtId="0" fontId="20" fillId="2" borderId="13" xfId="0" applyFont="1" applyFill="1" applyBorder="1" applyAlignment="1">
      <alignment horizontal="center" vertical="center" shrinkToFit="1"/>
    </xf>
    <xf numFmtId="0" fontId="17" fillId="0" borderId="0" xfId="0" applyFont="1"/>
    <xf numFmtId="0" fontId="17" fillId="0" borderId="0" xfId="0" applyFont="1" applyAlignment="1">
      <alignment wrapText="1"/>
    </xf>
    <xf numFmtId="0" fontId="4" fillId="0" borderId="3" xfId="0" applyFont="1" applyBorder="1" applyAlignment="1">
      <alignment vertical="center"/>
    </xf>
    <xf numFmtId="0" fontId="4" fillId="0" borderId="10" xfId="0" applyFont="1" applyBorder="1" applyAlignment="1">
      <alignment vertical="center"/>
    </xf>
    <xf numFmtId="0" fontId="4" fillId="0" borderId="0" xfId="0" applyFont="1" applyAlignment="1">
      <alignment vertical="center"/>
    </xf>
    <xf numFmtId="0" fontId="4" fillId="0" borderId="4" xfId="0" applyFont="1" applyBorder="1" applyAlignment="1">
      <alignment vertical="center"/>
    </xf>
    <xf numFmtId="0" fontId="4" fillId="0" borderId="4" xfId="0" applyFont="1" applyBorder="1" applyAlignment="1">
      <alignment horizontal="right" vertical="center"/>
    </xf>
    <xf numFmtId="0" fontId="21" fillId="7" borderId="0" xfId="0" applyFont="1" applyFill="1" applyAlignment="1">
      <alignment horizontal="left" vertical="center" indent="1"/>
    </xf>
    <xf numFmtId="0" fontId="17" fillId="7" borderId="0" xfId="11" applyFont="1" applyFill="1" applyBorder="1" applyAlignment="1">
      <alignment vertical="center"/>
    </xf>
    <xf numFmtId="9" fontId="1" fillId="7" borderId="0" xfId="2" applyFont="1" applyFill="1" applyBorder="1" applyAlignment="1">
      <alignment horizontal="center" vertical="center"/>
    </xf>
    <xf numFmtId="164" fontId="17" fillId="7" borderId="0" xfId="0" applyNumberFormat="1" applyFont="1" applyFill="1" applyAlignment="1">
      <alignment horizontal="center" vertical="center"/>
    </xf>
    <xf numFmtId="164" fontId="1" fillId="7" borderId="0" xfId="0" applyNumberFormat="1" applyFont="1" applyFill="1" applyAlignment="1">
      <alignment horizontal="center" vertical="center"/>
    </xf>
    <xf numFmtId="0" fontId="17" fillId="4" borderId="5" xfId="11" applyFont="1" applyFill="1" applyBorder="1" applyAlignment="1">
      <alignment vertical="center"/>
    </xf>
    <xf numFmtId="9" fontId="1" fillId="4" borderId="5" xfId="2" applyFont="1" applyFill="1" applyBorder="1" applyAlignment="1">
      <alignment horizontal="center" vertical="center"/>
    </xf>
    <xf numFmtId="164" fontId="17" fillId="4" borderId="5" xfId="10" applyFont="1" applyFill="1" applyBorder="1">
      <alignment horizontal="center" vertical="center"/>
    </xf>
    <xf numFmtId="0" fontId="21" fillId="8" borderId="0" xfId="0" applyFont="1" applyFill="1" applyAlignment="1">
      <alignment horizontal="left" vertical="center" indent="1"/>
    </xf>
    <xf numFmtId="0" fontId="17" fillId="8" borderId="0" xfId="11" applyFont="1" applyFill="1" applyBorder="1" applyAlignment="1">
      <alignment vertical="center"/>
    </xf>
    <xf numFmtId="9" fontId="1" fillId="8" borderId="0" xfId="2" applyFont="1" applyFill="1" applyBorder="1" applyAlignment="1">
      <alignment horizontal="center" vertical="center"/>
    </xf>
    <xf numFmtId="164" fontId="17" fillId="8" borderId="0" xfId="0" applyNumberFormat="1" applyFont="1" applyFill="1" applyAlignment="1">
      <alignment horizontal="center" vertical="center"/>
    </xf>
    <xf numFmtId="164" fontId="1" fillId="8" borderId="0" xfId="0" applyNumberFormat="1" applyFont="1" applyFill="1" applyAlignment="1">
      <alignment horizontal="center" vertical="center"/>
    </xf>
    <xf numFmtId="0" fontId="4" fillId="0" borderId="9" xfId="0" applyFont="1" applyBorder="1" applyAlignment="1">
      <alignment vertical="center"/>
    </xf>
    <xf numFmtId="0" fontId="17" fillId="5" borderId="6" xfId="12" applyFont="1" applyFill="1" applyBorder="1">
      <alignment horizontal="left" vertical="center" indent="2"/>
    </xf>
    <xf numFmtId="0" fontId="17" fillId="5" borderId="6" xfId="11" applyFont="1" applyFill="1" applyBorder="1" applyAlignment="1">
      <alignment vertical="center"/>
    </xf>
    <xf numFmtId="9" fontId="1" fillId="5" borderId="6" xfId="2" applyFont="1" applyFill="1" applyBorder="1" applyAlignment="1">
      <alignment horizontal="center" vertical="center"/>
    </xf>
    <xf numFmtId="164" fontId="17" fillId="5" borderId="6" xfId="10" applyFont="1" applyFill="1" applyBorder="1">
      <alignment horizontal="center" vertical="center"/>
    </xf>
    <xf numFmtId="0" fontId="21" fillId="9" borderId="0" xfId="0" applyFont="1" applyFill="1" applyAlignment="1">
      <alignment horizontal="left" vertical="center" indent="1"/>
    </xf>
    <xf numFmtId="0" fontId="17" fillId="9" borderId="0" xfId="11" applyFont="1" applyFill="1" applyBorder="1" applyAlignment="1">
      <alignment vertical="center"/>
    </xf>
    <xf numFmtId="9" fontId="1" fillId="9" borderId="0" xfId="2" applyFont="1" applyFill="1" applyBorder="1" applyAlignment="1">
      <alignment horizontal="center" vertical="center"/>
    </xf>
    <xf numFmtId="164" fontId="17" fillId="9" borderId="0" xfId="0" applyNumberFormat="1" applyFont="1" applyFill="1" applyAlignment="1">
      <alignment horizontal="center" vertical="center"/>
    </xf>
    <xf numFmtId="164" fontId="1" fillId="9" borderId="0" xfId="0" applyNumberFormat="1" applyFont="1" applyFill="1" applyAlignment="1">
      <alignment horizontal="center" vertical="center"/>
    </xf>
    <xf numFmtId="0" fontId="4" fillId="0" borderId="8" xfId="0" applyFont="1" applyBorder="1" applyAlignment="1">
      <alignment vertical="center"/>
    </xf>
    <xf numFmtId="0" fontId="17" fillId="10" borderId="7" xfId="12" applyFont="1" applyFill="1" applyBorder="1">
      <alignment horizontal="left" vertical="center" indent="2"/>
    </xf>
    <xf numFmtId="0" fontId="17" fillId="10" borderId="7" xfId="11" applyFont="1" applyFill="1" applyBorder="1" applyAlignment="1">
      <alignment vertical="center"/>
    </xf>
    <xf numFmtId="9" fontId="1" fillId="10" borderId="7" xfId="2" applyFont="1" applyFill="1" applyBorder="1" applyAlignment="1">
      <alignment horizontal="center" vertical="center"/>
    </xf>
    <xf numFmtId="164" fontId="17" fillId="10" borderId="7" xfId="10" applyFont="1" applyFill="1" applyBorder="1">
      <alignment horizontal="center" vertical="center"/>
    </xf>
    <xf numFmtId="0" fontId="17" fillId="0" borderId="0" xfId="12" applyFont="1" applyBorder="1">
      <alignment horizontal="left" vertical="center" indent="2"/>
    </xf>
    <xf numFmtId="0" fontId="17" fillId="0" borderId="0" xfId="11" applyFont="1" applyBorder="1" applyAlignment="1">
      <alignment vertical="center"/>
    </xf>
    <xf numFmtId="9" fontId="1" fillId="0" borderId="0" xfId="2" applyFont="1" applyBorder="1" applyAlignment="1">
      <alignment horizontal="center" vertical="center"/>
    </xf>
    <xf numFmtId="164" fontId="17" fillId="0" borderId="0" xfId="10" applyFont="1" applyBorder="1">
      <alignment horizontal="center" vertical="center"/>
    </xf>
    <xf numFmtId="0" fontId="22" fillId="2" borderId="0" xfId="0" applyFont="1" applyFill="1" applyAlignment="1">
      <alignment horizontal="left" vertical="center" indent="1"/>
    </xf>
    <xf numFmtId="0" fontId="22" fillId="2" borderId="0" xfId="0" applyFont="1" applyFill="1" applyAlignment="1">
      <alignment vertical="center"/>
    </xf>
    <xf numFmtId="9" fontId="1" fillId="2" borderId="0" xfId="2" applyFont="1" applyFill="1" applyBorder="1" applyAlignment="1">
      <alignment horizontal="center" vertical="center"/>
    </xf>
    <xf numFmtId="164" fontId="23" fillId="2" borderId="0" xfId="0" applyNumberFormat="1" applyFont="1" applyFill="1" applyAlignment="1">
      <alignment horizontal="left" vertical="center"/>
    </xf>
    <xf numFmtId="164" fontId="1" fillId="2" borderId="0" xfId="0" applyNumberFormat="1" applyFont="1" applyFill="1" applyAlignment="1">
      <alignment horizontal="center" vertical="center"/>
    </xf>
    <xf numFmtId="0" fontId="4" fillId="2" borderId="0" xfId="0" applyFont="1" applyFill="1" applyAlignment="1">
      <alignment vertical="center"/>
    </xf>
    <xf numFmtId="0" fontId="24" fillId="0" borderId="0" xfId="6" applyFont="1" applyAlignment="1">
      <alignment horizontal="left" vertical="center" indent="1"/>
    </xf>
    <xf numFmtId="0" fontId="24" fillId="0" borderId="0" xfId="7" applyFont="1" applyAlignment="1">
      <alignment horizontal="left" vertical="center" indent="1"/>
    </xf>
    <xf numFmtId="0" fontId="9" fillId="0" borderId="0" xfId="0" applyFont="1" applyAlignment="1">
      <alignment horizontal="left" vertical="center" indent="1"/>
    </xf>
    <xf numFmtId="0" fontId="3" fillId="0" borderId="0" xfId="0" applyFont="1" applyAlignment="1">
      <alignment horizontal="left" vertical="top" indent="1"/>
    </xf>
    <xf numFmtId="0" fontId="24" fillId="0" borderId="0" xfId="0" applyFont="1" applyAlignment="1">
      <alignment horizontal="left" vertical="center" indent="1"/>
    </xf>
    <xf numFmtId="0" fontId="28" fillId="0" borderId="0" xfId="0" applyFont="1" applyAlignment="1">
      <alignment horizontal="left" vertical="top" wrapText="1" indent="1"/>
    </xf>
    <xf numFmtId="0" fontId="0" fillId="0" borderId="0" xfId="0" applyAlignment="1">
      <alignment horizontal="left" vertical="top" wrapText="1" indent="1"/>
    </xf>
    <xf numFmtId="0" fontId="29" fillId="0" borderId="0" xfId="1" applyFont="1" applyAlignment="1" applyProtection="1">
      <alignment horizontal="left" vertical="top" indent="1"/>
    </xf>
    <xf numFmtId="0" fontId="1" fillId="0" borderId="0" xfId="0" applyFont="1" applyAlignment="1">
      <alignment horizontal="left" vertical="top" indent="1"/>
    </xf>
    <xf numFmtId="0" fontId="17" fillId="4" borderId="5" xfId="12" applyFont="1" applyFill="1" applyBorder="1" applyAlignment="1">
      <alignment horizontal="left" vertical="center" wrapText="1" indent="2"/>
    </xf>
    <xf numFmtId="0" fontId="17" fillId="4" borderId="5" xfId="11" applyFont="1" applyFill="1" applyBorder="1" applyAlignment="1">
      <alignment vertical="center" wrapText="1"/>
    </xf>
    <xf numFmtId="0" fontId="17" fillId="4" borderId="0" xfId="12" applyFont="1" applyFill="1" applyBorder="1" applyAlignment="1">
      <alignment horizontal="left" vertical="center" wrapText="1" indent="2"/>
    </xf>
    <xf numFmtId="9" fontId="1" fillId="4" borderId="0" xfId="2" applyFont="1" applyFill="1" applyBorder="1" applyAlignment="1">
      <alignment horizontal="center" vertical="center"/>
    </xf>
    <xf numFmtId="164" fontId="17" fillId="4" borderId="0" xfId="10" applyFont="1" applyFill="1" applyBorder="1">
      <alignment horizontal="center" vertical="center"/>
    </xf>
    <xf numFmtId="0" fontId="4" fillId="0" borderId="9" xfId="0" applyFont="1" applyBorder="1" applyAlignment="1">
      <alignment horizontal="right" vertical="center"/>
    </xf>
    <xf numFmtId="0" fontId="17" fillId="3" borderId="20" xfId="12" applyFont="1" applyFill="1" applyBorder="1">
      <alignment horizontal="left" vertical="center" indent="2"/>
    </xf>
    <xf numFmtId="0" fontId="17" fillId="3" borderId="20" xfId="11" applyFont="1" applyFill="1" applyBorder="1" applyAlignment="1">
      <alignment vertical="center"/>
    </xf>
    <xf numFmtId="9" fontId="1" fillId="3" borderId="20" xfId="2" applyFont="1" applyFill="1" applyBorder="1" applyAlignment="1">
      <alignment horizontal="center" vertical="center"/>
    </xf>
    <xf numFmtId="164" fontId="17" fillId="3" borderId="20" xfId="10" applyFont="1" applyFill="1" applyBorder="1">
      <alignment horizontal="center" vertical="center"/>
    </xf>
    <xf numFmtId="0" fontId="21" fillId="6" borderId="20" xfId="0" applyFont="1" applyFill="1" applyBorder="1" applyAlignment="1">
      <alignment horizontal="left" vertical="center" indent="1"/>
    </xf>
    <xf numFmtId="0" fontId="17" fillId="6" borderId="20" xfId="11" applyFont="1" applyFill="1" applyBorder="1" applyAlignment="1">
      <alignment vertical="center"/>
    </xf>
    <xf numFmtId="9" fontId="1" fillId="6" borderId="20" xfId="2" applyFont="1" applyFill="1" applyBorder="1" applyAlignment="1">
      <alignment horizontal="center" vertical="center"/>
    </xf>
    <xf numFmtId="164" fontId="17" fillId="6" borderId="20" xfId="0" applyNumberFormat="1" applyFont="1" applyFill="1" applyBorder="1" applyAlignment="1">
      <alignment horizontal="center" vertical="center"/>
    </xf>
    <xf numFmtId="164" fontId="1" fillId="6" borderId="20" xfId="0" applyNumberFormat="1" applyFont="1" applyFill="1" applyBorder="1" applyAlignment="1">
      <alignment horizontal="center" vertical="center"/>
    </xf>
    <xf numFmtId="0" fontId="17" fillId="3" borderId="20" xfId="12" applyFont="1" applyFill="1" applyBorder="1" applyAlignment="1">
      <alignment horizontal="left" vertical="center" wrapText="1" indent="2"/>
    </xf>
    <xf numFmtId="0" fontId="17" fillId="4" borderId="0" xfId="11" applyFont="1" applyFill="1" applyBorder="1" applyAlignment="1">
      <alignment vertical="center" wrapText="1"/>
    </xf>
    <xf numFmtId="0" fontId="17" fillId="5" borderId="0" xfId="12" applyFont="1" applyFill="1" applyBorder="1">
      <alignment horizontal="left" vertical="center" indent="2"/>
    </xf>
    <xf numFmtId="0" fontId="17" fillId="5" borderId="0" xfId="11" applyFont="1" applyFill="1" applyBorder="1" applyAlignment="1">
      <alignment vertical="center"/>
    </xf>
    <xf numFmtId="9" fontId="1" fillId="5" borderId="0" xfId="2" applyFont="1" applyFill="1" applyBorder="1" applyAlignment="1">
      <alignment horizontal="center" vertical="center"/>
    </xf>
    <xf numFmtId="164" fontId="17" fillId="5" borderId="0" xfId="10" applyFont="1" applyFill="1" applyBorder="1">
      <alignment horizontal="center" vertical="center"/>
    </xf>
    <xf numFmtId="0" fontId="17" fillId="5" borderId="6" xfId="12" applyFont="1" applyFill="1" applyBorder="1" applyAlignment="1">
      <alignment horizontal="left" vertical="center" wrapText="1" indent="2"/>
    </xf>
    <xf numFmtId="0" fontId="17" fillId="5" borderId="6" xfId="11" applyFont="1" applyFill="1" applyBorder="1" applyAlignment="1">
      <alignment vertical="center" wrapText="1"/>
    </xf>
    <xf numFmtId="0" fontId="17" fillId="5" borderId="0" xfId="12" applyFont="1" applyFill="1" applyBorder="1" applyAlignment="1">
      <alignment horizontal="left" vertical="center" wrapText="1" indent="2"/>
    </xf>
    <xf numFmtId="0" fontId="17" fillId="5" borderId="0" xfId="11" applyFont="1" applyFill="1" applyBorder="1" applyAlignment="1">
      <alignment vertical="center" wrapText="1"/>
    </xf>
    <xf numFmtId="0" fontId="17" fillId="10" borderId="7" xfId="12" applyFont="1" applyFill="1" applyBorder="1" applyAlignment="1">
      <alignment horizontal="left" vertical="center" wrapText="1" indent="2"/>
    </xf>
    <xf numFmtId="44" fontId="4" fillId="0" borderId="0" xfId="13" applyFont="1" applyBorder="1" applyAlignment="1">
      <alignment vertical="center"/>
    </xf>
    <xf numFmtId="0" fontId="0" fillId="0" borderId="4" xfId="0" applyBorder="1" applyAlignment="1">
      <alignment vertical="center"/>
    </xf>
    <xf numFmtId="44" fontId="4" fillId="0" borderId="4" xfId="13" applyFont="1" applyBorder="1" applyAlignment="1">
      <alignment vertical="center"/>
    </xf>
    <xf numFmtId="44" fontId="4" fillId="0" borderId="0" xfId="13" applyFont="1" applyAlignment="1">
      <alignment vertical="center"/>
    </xf>
    <xf numFmtId="44" fontId="4" fillId="0" borderId="9" xfId="13" applyFont="1" applyBorder="1" applyAlignment="1">
      <alignment vertical="center"/>
    </xf>
    <xf numFmtId="0" fontId="30" fillId="0" borderId="0" xfId="0" applyFont="1"/>
    <xf numFmtId="44" fontId="4" fillId="0" borderId="8" xfId="13" applyFont="1" applyBorder="1" applyAlignment="1">
      <alignment vertical="center"/>
    </xf>
    <xf numFmtId="44" fontId="0" fillId="0" borderId="0" xfId="13" applyFont="1"/>
    <xf numFmtId="44" fontId="0" fillId="0" borderId="0" xfId="0" applyNumberFormat="1"/>
    <xf numFmtId="0" fontId="0" fillId="0" borderId="0" xfId="0" applyAlignment="1">
      <alignment wrapText="1"/>
    </xf>
    <xf numFmtId="44" fontId="0" fillId="0" borderId="0" xfId="13" applyFont="1" applyAlignment="1">
      <alignment wrapText="1"/>
    </xf>
    <xf numFmtId="0" fontId="30" fillId="0" borderId="21" xfId="0" applyFont="1" applyBorder="1"/>
    <xf numFmtId="0" fontId="0" fillId="0" borderId="21" xfId="0" applyBorder="1" applyAlignment="1">
      <alignment horizontal="center" wrapText="1"/>
    </xf>
    <xf numFmtId="0" fontId="0" fillId="0" borderId="21" xfId="0" applyBorder="1" applyAlignment="1">
      <alignment horizontal="center"/>
    </xf>
    <xf numFmtId="0" fontId="0" fillId="0" borderId="21" xfId="0" applyBorder="1"/>
    <xf numFmtId="44" fontId="0" fillId="0" borderId="21" xfId="13" applyFont="1" applyBorder="1"/>
    <xf numFmtId="44" fontId="0" fillId="0" borderId="21" xfId="0" applyNumberFormat="1" applyBorder="1"/>
    <xf numFmtId="0" fontId="0" fillId="0" borderId="21" xfId="0" applyBorder="1" applyAlignment="1">
      <alignment wrapText="1"/>
    </xf>
    <xf numFmtId="44" fontId="4" fillId="0" borderId="8" xfId="0" applyNumberFormat="1" applyFont="1" applyBorder="1" applyAlignment="1">
      <alignment vertical="center"/>
    </xf>
    <xf numFmtId="42" fontId="4" fillId="0" borderId="0" xfId="0" applyNumberFormat="1" applyFont="1"/>
    <xf numFmtId="44" fontId="4" fillId="0" borderId="9" xfId="0" applyNumberFormat="1" applyFont="1" applyBorder="1" applyAlignment="1">
      <alignment vertical="center"/>
    </xf>
    <xf numFmtId="44" fontId="4" fillId="0" borderId="10" xfId="0" applyNumberFormat="1" applyFont="1" applyBorder="1" applyAlignment="1">
      <alignment vertical="center"/>
    </xf>
    <xf numFmtId="44" fontId="4" fillId="0" borderId="0" xfId="0" applyNumberFormat="1" applyFont="1" applyAlignment="1">
      <alignment vertical="center"/>
    </xf>
    <xf numFmtId="0" fontId="17" fillId="0" borderId="21" xfId="0" applyFont="1" applyBorder="1" applyAlignment="1">
      <alignment wrapText="1"/>
    </xf>
    <xf numFmtId="0" fontId="18" fillId="11" borderId="21" xfId="0" applyFont="1" applyFill="1" applyBorder="1" applyAlignment="1">
      <alignment wrapText="1"/>
    </xf>
    <xf numFmtId="0" fontId="4" fillId="2" borderId="21" xfId="0" applyFont="1" applyFill="1" applyBorder="1" applyAlignment="1">
      <alignment wrapText="1"/>
    </xf>
    <xf numFmtId="0" fontId="17" fillId="6" borderId="21" xfId="11" applyFont="1" applyFill="1" applyBorder="1" applyAlignment="1">
      <alignment wrapText="1"/>
    </xf>
    <xf numFmtId="0" fontId="17" fillId="3" borderId="21" xfId="11" applyFont="1" applyFill="1" applyBorder="1" applyAlignment="1">
      <alignment wrapText="1"/>
    </xf>
    <xf numFmtId="0" fontId="17" fillId="7" borderId="21" xfId="11" applyFont="1" applyFill="1" applyBorder="1" applyAlignment="1">
      <alignment wrapText="1"/>
    </xf>
    <xf numFmtId="0" fontId="17" fillId="4" borderId="21" xfId="11" applyFont="1" applyFill="1" applyBorder="1" applyAlignment="1">
      <alignment wrapText="1"/>
    </xf>
    <xf numFmtId="0" fontId="17" fillId="8" borderId="21" xfId="11" applyFont="1" applyFill="1" applyBorder="1" applyAlignment="1">
      <alignment wrapText="1"/>
    </xf>
    <xf numFmtId="0" fontId="17" fillId="5" borderId="21" xfId="11" applyFont="1" applyFill="1" applyBorder="1" applyAlignment="1">
      <alignment wrapText="1"/>
    </xf>
    <xf numFmtId="0" fontId="17" fillId="10" borderId="21" xfId="11" applyFont="1" applyFill="1" applyBorder="1" applyAlignment="1">
      <alignment wrapText="1"/>
    </xf>
    <xf numFmtId="0" fontId="17" fillId="3" borderId="21" xfId="12" applyFont="1" applyFill="1" applyBorder="1" applyAlignment="1">
      <alignment wrapText="1"/>
    </xf>
    <xf numFmtId="0" fontId="21" fillId="6" borderId="21" xfId="0" applyFont="1" applyFill="1" applyBorder="1" applyAlignment="1">
      <alignment wrapText="1"/>
    </xf>
    <xf numFmtId="0" fontId="31" fillId="0" borderId="21" xfId="0" applyFont="1" applyBorder="1" applyAlignment="1">
      <alignment horizontal="center" wrapText="1"/>
    </xf>
    <xf numFmtId="17" fontId="0" fillId="0" borderId="21" xfId="0" applyNumberFormat="1" applyBorder="1" applyAlignment="1">
      <alignment wrapText="1"/>
    </xf>
    <xf numFmtId="0" fontId="21" fillId="7" borderId="21" xfId="0" applyFont="1" applyFill="1" applyBorder="1" applyAlignment="1">
      <alignment wrapText="1"/>
    </xf>
    <xf numFmtId="0" fontId="17" fillId="4" borderId="21" xfId="12" applyFont="1" applyFill="1" applyBorder="1" applyAlignment="1">
      <alignment wrapText="1"/>
    </xf>
    <xf numFmtId="0" fontId="21" fillId="8" borderId="21" xfId="0" applyFont="1" applyFill="1" applyBorder="1" applyAlignment="1">
      <alignment wrapText="1"/>
    </xf>
    <xf numFmtId="0" fontId="17" fillId="5" borderId="21" xfId="12" applyFont="1" applyFill="1" applyBorder="1" applyAlignment="1">
      <alignment wrapText="1"/>
    </xf>
    <xf numFmtId="0" fontId="17" fillId="10" borderId="21" xfId="12" applyFont="1" applyFill="1" applyBorder="1" applyAlignment="1">
      <alignment wrapText="1"/>
    </xf>
    <xf numFmtId="0" fontId="0" fillId="10" borderId="21" xfId="0" applyFill="1" applyBorder="1" applyAlignment="1">
      <alignment wrapText="1"/>
    </xf>
    <xf numFmtId="0" fontId="0" fillId="10" borderId="21" xfId="0" applyFill="1" applyBorder="1"/>
    <xf numFmtId="14" fontId="0" fillId="10" borderId="21" xfId="0" applyNumberFormat="1" applyFill="1" applyBorder="1" applyAlignment="1">
      <alignment wrapText="1"/>
    </xf>
    <xf numFmtId="166" fontId="17" fillId="2" borderId="11" xfId="0" applyNumberFormat="1" applyFont="1" applyFill="1" applyBorder="1" applyAlignment="1">
      <alignment horizontal="center" vertical="center" wrapText="1"/>
    </xf>
    <xf numFmtId="166" fontId="17" fillId="2" borderId="17" xfId="0" applyNumberFormat="1" applyFont="1" applyFill="1" applyBorder="1" applyAlignment="1">
      <alignment horizontal="center" vertical="center" wrapText="1"/>
    </xf>
    <xf numFmtId="0" fontId="13" fillId="0" borderId="0" xfId="3" applyAlignment="1">
      <alignment wrapText="1"/>
    </xf>
    <xf numFmtId="0" fontId="18" fillId="11" borderId="14" xfId="0" applyFont="1" applyFill="1" applyBorder="1" applyAlignment="1">
      <alignment horizontal="left" vertical="center" indent="1"/>
    </xf>
    <xf numFmtId="0" fontId="4" fillId="2" borderId="19" xfId="0" applyFont="1" applyFill="1" applyBorder="1" applyAlignment="1">
      <alignment horizontal="left" indent="1"/>
    </xf>
    <xf numFmtId="0" fontId="18" fillId="11" borderId="14" xfId="0" applyFont="1" applyFill="1" applyBorder="1" applyAlignment="1">
      <alignment vertical="center"/>
    </xf>
    <xf numFmtId="0" fontId="4" fillId="2" borderId="19" xfId="0" applyFont="1" applyFill="1" applyBorder="1"/>
    <xf numFmtId="0" fontId="18" fillId="11" borderId="14" xfId="0" applyFont="1" applyFill="1" applyBorder="1" applyAlignment="1">
      <alignment horizontal="center" vertical="center"/>
    </xf>
    <xf numFmtId="166" fontId="17" fillId="2" borderId="16" xfId="0" applyNumberFormat="1" applyFont="1" applyFill="1" applyBorder="1" applyAlignment="1">
      <alignment horizontal="center" vertical="center" wrapText="1"/>
    </xf>
    <xf numFmtId="0" fontId="27" fillId="0" borderId="0" xfId="5" applyFont="1" applyAlignment="1">
      <alignment horizontal="center" wrapText="1"/>
    </xf>
    <xf numFmtId="0" fontId="24" fillId="0" borderId="0" xfId="8" applyFont="1" applyAlignment="1">
      <alignment horizontal="left"/>
    </xf>
    <xf numFmtId="0" fontId="4" fillId="0" borderId="0" xfId="0" applyFont="1"/>
    <xf numFmtId="165" fontId="25" fillId="0" borderId="0" xfId="9" applyFont="1" applyBorder="1" applyAlignment="1">
      <alignment horizontal="left"/>
    </xf>
    <xf numFmtId="0" fontId="26" fillId="0" borderId="0" xfId="0" applyFont="1"/>
    <xf numFmtId="0" fontId="25" fillId="0" borderId="0" xfId="0" applyFont="1" applyAlignment="1">
      <alignment horizontal="left"/>
    </xf>
    <xf numFmtId="0" fontId="30" fillId="0" borderId="22" xfId="0" applyFont="1" applyBorder="1" applyAlignment="1">
      <alignment horizontal="center" wrapText="1"/>
    </xf>
    <xf numFmtId="0" fontId="30" fillId="0" borderId="20" xfId="0" applyFont="1" applyBorder="1" applyAlignment="1">
      <alignment horizontal="center" wrapText="1"/>
    </xf>
    <xf numFmtId="0" fontId="30" fillId="0" borderId="23" xfId="0" applyFont="1" applyBorder="1" applyAlignment="1">
      <alignment horizontal="center" wrapText="1"/>
    </xf>
    <xf numFmtId="0" fontId="30" fillId="0" borderId="21" xfId="0" applyFont="1" applyBorder="1" applyAlignment="1">
      <alignment horizontal="center"/>
    </xf>
  </cellXfs>
  <cellStyles count="14">
    <cellStyle name="Comma" xfId="4" builtinId="3" customBuiltin="1"/>
    <cellStyle name="Currency" xfId="13" builtinId="4"/>
    <cellStyle name="Date" xfId="10" xr:uid="{229918B6-DD13-4F5A-97B9-305F7E002AA3}"/>
    <cellStyle name="Heading 1" xfId="6" builtinId="16" customBuiltin="1"/>
    <cellStyle name="Heading 2" xfId="7" builtinId="17" customBuiltin="1"/>
    <cellStyle name="Heading 3" xfId="8" builtinId="18" customBuiltin="1"/>
    <cellStyle name="Hyperlink" xfId="1" builtinId="8" customBuiltin="1"/>
    <cellStyle name="Name" xfId="11" xr:uid="{B2D3C1EE-6B41-4801-AAFC-C2274E49E503}"/>
    <cellStyle name="Normal" xfId="0" builtinId="0"/>
    <cellStyle name="Percent" xfId="2" builtinId="5"/>
    <cellStyle name="Project Start" xfId="9" xr:uid="{8EB8A09A-C31C-40A3-B2C1-9449520178B8}"/>
    <cellStyle name="Task" xfId="12" xr:uid="{6391D789-272B-4DD2-9BF3-2CDCF610FA41}"/>
    <cellStyle name="Title" xfId="5" builtinId="15" customBuiltin="1"/>
    <cellStyle name="zHiddenText" xfId="3" xr:uid="{26E66EE6-E33F-4D77-BAE4-0FB4F5BBF673}"/>
  </cellStyles>
  <dxfs count="46">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6" tint="0.39994506668294322"/>
        </patternFill>
      </fill>
      <border>
        <left/>
        <right/>
        <top style="thin">
          <color theme="0" tint="-4.9989318521683403E-2"/>
        </top>
        <bottom style="thin">
          <color theme="0" tint="-4.9989318521683403E-2"/>
        </bottom>
      </border>
    </dxf>
    <dxf>
      <fill>
        <patternFill>
          <bgColor theme="6"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8"/>
        </patternFill>
      </fill>
      <border>
        <left/>
        <right/>
      </border>
    </dxf>
    <dxf>
      <fill>
        <patternFill>
          <bgColor theme="8" tint="0.59996337778862885"/>
        </patternFill>
      </fill>
      <border>
        <left/>
        <right/>
      </border>
    </dxf>
    <dxf>
      <fill>
        <patternFill>
          <bgColor theme="6" tint="0.39994506668294322"/>
        </patternFill>
      </fill>
      <border>
        <left/>
        <right/>
        <top style="thin">
          <color theme="0" tint="-4.9989318521683403E-2"/>
        </top>
        <bottom style="thin">
          <color theme="0" tint="-4.9989318521683403E-2"/>
        </bottom>
      </border>
    </dxf>
    <dxf>
      <fill>
        <patternFill>
          <bgColor theme="6" tint="0.79998168889431442"/>
        </patternFill>
      </fill>
      <border>
        <top style="thin">
          <color theme="0" tint="-4.9989318521683403E-2"/>
        </top>
        <bottom style="thin">
          <color theme="0" tint="-4.9989318521683403E-2"/>
        </bottom>
      </border>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border>
        <left style="thin">
          <color theme="5"/>
        </left>
        <right style="thin">
          <color theme="5"/>
        </right>
        <vertical/>
        <horizontal/>
      </border>
    </dxf>
    <dxf>
      <fill>
        <patternFill>
          <bgColor theme="4" tint="0.79998168889431442"/>
        </patternFill>
      </fill>
      <border>
        <top style="thin">
          <color theme="0" tint="-4.9989318521683403E-2"/>
        </top>
        <bottom style="thin">
          <color theme="0" tint="-4.9989318521683403E-2"/>
        </bottom>
      </border>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4" tint="0.39994506668294322"/>
        </patternFill>
      </fill>
      <border>
        <left/>
        <right/>
        <top style="thin">
          <color theme="0" tint="-4.9989318521683403E-2"/>
        </top>
        <bottom style="thin">
          <color theme="0" tint="-4.9989318521683403E-2"/>
        </bottom>
      </border>
    </dxf>
    <dxf>
      <fill>
        <patternFill>
          <bgColor theme="6" tint="0.39994506668294322"/>
        </patternFill>
      </fill>
      <border>
        <left/>
        <right/>
        <top style="thin">
          <color theme="0" tint="-4.9989318521683403E-2"/>
        </top>
        <bottom style="thin">
          <color theme="0" tint="-4.9989318521683403E-2"/>
        </bottom>
      </border>
    </dxf>
    <dxf>
      <fill>
        <patternFill>
          <bgColor theme="6"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45"/>
      <tableStyleElement type="headerRow" dxfId="44"/>
      <tableStyleElement type="totalRow" dxfId="43"/>
      <tableStyleElement type="firstColumn" dxfId="42"/>
      <tableStyleElement type="lastColumn" dxfId="41"/>
      <tableStyleElement type="firstRowStripe" dxfId="40"/>
      <tableStyleElement type="secondRowStripe" dxfId="39"/>
      <tableStyleElement type="firstColumnStripe" dxfId="38"/>
      <tableStyleElement type="secondColumnStripe" dxfId="37"/>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simple-gantt-chart.html?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1905000</xdr:colOff>
      <xdr:row>0</xdr:row>
      <xdr:rowOff>523875</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F8638EF3-2DAE-40BC-A45A-2B8C536FAB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TM16400962">
      <a:dk1>
        <a:srgbClr val="000000"/>
      </a:dk1>
      <a:lt1>
        <a:srgbClr val="FFFFFF"/>
      </a:lt1>
      <a:dk2>
        <a:srgbClr val="0E2841"/>
      </a:dk2>
      <a:lt2>
        <a:srgbClr val="E8E8E8"/>
      </a:lt2>
      <a:accent1>
        <a:srgbClr val="6528F7"/>
      </a:accent1>
      <a:accent2>
        <a:srgbClr val="D800A6"/>
      </a:accent2>
      <a:accent3>
        <a:srgbClr val="7ECA9C"/>
      </a:accent3>
      <a:accent4>
        <a:srgbClr val="00ABB3"/>
      </a:accent4>
      <a:accent5>
        <a:srgbClr val="FFE227"/>
      </a:accent5>
      <a:accent6>
        <a:srgbClr val="1363DF"/>
      </a:accent6>
      <a:hlink>
        <a:srgbClr val="467886"/>
      </a:hlink>
      <a:folHlink>
        <a:srgbClr val="96607D"/>
      </a:folHlink>
    </a:clrScheme>
    <a:fontScheme name="Custom 32">
      <a:majorFont>
        <a:latin typeface="Arial Black"/>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vertex42.com/ExcelTemplates/simple-gantt-chart.html?utm_source=ms&amp;utm_medium=file&amp;utm_campaign=office&amp;utm_content=text" TargetMode="External"/><Relationship Id="rId1" Type="http://schemas.openxmlformats.org/officeDocument/2006/relationships/hyperlink" Target="https://www.vertex42.com/ExcelTemplates/simple-gantt-chart.html?utm_source=ms&amp;utm_medium=file&amp;utm_campaign=office&amp;utm_content=ur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vertex42.com/ExcelTemplates/simple-gantt-chart.html?utm_source=ms&amp;utm_medium=file&amp;utm_campaign=office&amp;utm_content=text" TargetMode="External"/><Relationship Id="rId2" Type="http://schemas.openxmlformats.org/officeDocument/2006/relationships/hyperlink" Target="https://www.vertex42.com/ExcelTemplates/simple-gantt-chart.html?utm_source=ms&amp;utm_medium=file&amp;utm_campaign=office&amp;utm_content=help" TargetMode="External"/><Relationship Id="rId1" Type="http://schemas.openxmlformats.org/officeDocument/2006/relationships/hyperlink" Target="https://www.vertex42.com/ExcelTemplates/excel-project-management.html?utm_source=ms&amp;utm_medium=file&amp;utm_campaign=office&amp;utm_content=text" TargetMode="External"/><Relationship Id="rId5" Type="http://schemas.openxmlformats.org/officeDocument/2006/relationships/drawing" Target="../drawings/drawing1.x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130C3-008A-4EDD-88D7-DA6D4067009C}">
  <sheetPr>
    <pageSetUpPr fitToPage="1"/>
  </sheetPr>
  <dimension ref="A1:BL75"/>
  <sheetViews>
    <sheetView showGridLines="0" showRuler="0" topLeftCell="A56" zoomScale="86" zoomScaleNormal="86" zoomScalePageLayoutView="70" workbookViewId="0">
      <selection activeCell="B5" sqref="B5:C70"/>
    </sheetView>
  </sheetViews>
  <sheetFormatPr defaultColWidth="8.69921875" defaultRowHeight="30" customHeight="1" x14ac:dyDescent="0.25"/>
  <cols>
    <col min="1" max="1" width="2.69921875" style="13" customWidth="1"/>
    <col min="2" max="2" width="36.8984375" customWidth="1"/>
    <col min="3" max="3" width="16.69921875" customWidth="1"/>
    <col min="4" max="4" width="10.69921875" hidden="1" customWidth="1"/>
    <col min="5" max="5" width="10.69921875" style="2" hidden="1" customWidth="1"/>
    <col min="6" max="6" width="10.69921875" hidden="1" customWidth="1"/>
    <col min="7" max="7" width="2.69921875" customWidth="1"/>
    <col min="8" max="8" width="6" hidden="1" customWidth="1"/>
    <col min="9" max="9" width="12.09765625" customWidth="1"/>
    <col min="10" max="10" width="11.09765625" customWidth="1"/>
    <col min="11" max="11" width="13" customWidth="1"/>
    <col min="12" max="65" width="2.69921875" customWidth="1"/>
  </cols>
  <sheetData>
    <row r="1" spans="1:64" ht="161.25" customHeight="1" x14ac:dyDescent="1.45">
      <c r="A1" s="14"/>
      <c r="B1" s="167" t="s">
        <v>27</v>
      </c>
      <c r="C1" s="167"/>
      <c r="D1" s="167"/>
      <c r="E1" s="167"/>
      <c r="F1" s="167"/>
      <c r="H1" s="1"/>
      <c r="I1" s="168" t="s">
        <v>21</v>
      </c>
      <c r="J1" s="169"/>
      <c r="K1" s="169"/>
      <c r="L1" s="169"/>
      <c r="M1" s="169"/>
      <c r="N1" s="169"/>
      <c r="O1" s="169"/>
      <c r="P1" s="20"/>
      <c r="Q1" s="170">
        <v>45778</v>
      </c>
      <c r="R1" s="171"/>
      <c r="S1" s="171"/>
      <c r="T1" s="171"/>
      <c r="U1" s="171"/>
      <c r="V1" s="171"/>
      <c r="W1" s="171"/>
      <c r="X1" s="171"/>
      <c r="Y1" s="171"/>
      <c r="Z1" s="171"/>
    </row>
    <row r="2" spans="1:64" ht="30" customHeight="1" x14ac:dyDescent="0.6">
      <c r="B2" s="78" t="s">
        <v>25</v>
      </c>
      <c r="C2" s="79" t="s">
        <v>26</v>
      </c>
      <c r="D2" s="18"/>
      <c r="E2" s="19"/>
      <c r="F2" s="18"/>
      <c r="I2" s="168" t="s">
        <v>22</v>
      </c>
      <c r="J2" s="169"/>
      <c r="K2" s="169"/>
      <c r="L2" s="169"/>
      <c r="M2" s="169"/>
      <c r="N2" s="169"/>
      <c r="O2" s="169"/>
      <c r="P2" s="20"/>
      <c r="Q2" s="172">
        <v>1</v>
      </c>
      <c r="R2" s="171"/>
      <c r="S2" s="171"/>
      <c r="T2" s="171"/>
      <c r="U2" s="171"/>
      <c r="V2" s="171"/>
      <c r="W2" s="171"/>
      <c r="X2" s="171"/>
      <c r="Y2" s="171"/>
      <c r="Z2" s="171"/>
    </row>
    <row r="3" spans="1:64" s="22" customFormat="1" ht="30" customHeight="1" x14ac:dyDescent="0.25">
      <c r="A3" s="13"/>
      <c r="B3" s="21" t="s">
        <v>8</v>
      </c>
      <c r="D3" s="23"/>
      <c r="E3" s="24"/>
      <c r="I3" s="132">
        <f>+SUM(I9:I70)</f>
        <v>85774</v>
      </c>
      <c r="J3" s="132">
        <f>SUM(I3*0.1)</f>
        <v>8577.4</v>
      </c>
      <c r="K3" s="132">
        <f>SUM(I3:J3)</f>
        <v>94351.4</v>
      </c>
    </row>
    <row r="4" spans="1:64" s="22" customFormat="1" ht="30" customHeight="1" x14ac:dyDescent="0.25">
      <c r="A4" s="14"/>
      <c r="B4" s="25" t="s">
        <v>13</v>
      </c>
      <c r="E4" s="26"/>
      <c r="I4" s="166">
        <f>I5</f>
        <v>45775</v>
      </c>
      <c r="J4" s="158"/>
      <c r="K4" s="158"/>
      <c r="L4" s="158"/>
      <c r="M4" s="158"/>
      <c r="N4" s="158"/>
      <c r="O4" s="158"/>
      <c r="P4" s="158">
        <f>P5</f>
        <v>45782</v>
      </c>
      <c r="Q4" s="158"/>
      <c r="R4" s="158"/>
      <c r="S4" s="158"/>
      <c r="T4" s="158"/>
      <c r="U4" s="158"/>
      <c r="V4" s="158"/>
      <c r="W4" s="158">
        <f>W5</f>
        <v>45789</v>
      </c>
      <c r="X4" s="158"/>
      <c r="Y4" s="158"/>
      <c r="Z4" s="158"/>
      <c r="AA4" s="158"/>
      <c r="AB4" s="158"/>
      <c r="AC4" s="158"/>
      <c r="AD4" s="158">
        <f>AD5</f>
        <v>45796</v>
      </c>
      <c r="AE4" s="158"/>
      <c r="AF4" s="158"/>
      <c r="AG4" s="158"/>
      <c r="AH4" s="158"/>
      <c r="AI4" s="158"/>
      <c r="AJ4" s="158"/>
      <c r="AK4" s="158">
        <f>AK5</f>
        <v>45803</v>
      </c>
      <c r="AL4" s="158"/>
      <c r="AM4" s="158"/>
      <c r="AN4" s="158"/>
      <c r="AO4" s="158"/>
      <c r="AP4" s="158"/>
      <c r="AQ4" s="158"/>
      <c r="AR4" s="158">
        <f>AR5</f>
        <v>45810</v>
      </c>
      <c r="AS4" s="158"/>
      <c r="AT4" s="158"/>
      <c r="AU4" s="158"/>
      <c r="AV4" s="158"/>
      <c r="AW4" s="158"/>
      <c r="AX4" s="158"/>
      <c r="AY4" s="158">
        <f>AY5</f>
        <v>45817</v>
      </c>
      <c r="AZ4" s="158"/>
      <c r="BA4" s="158"/>
      <c r="BB4" s="158"/>
      <c r="BC4" s="158"/>
      <c r="BD4" s="158"/>
      <c r="BE4" s="158"/>
      <c r="BF4" s="158">
        <f>BF5</f>
        <v>45824</v>
      </c>
      <c r="BG4" s="158"/>
      <c r="BH4" s="158"/>
      <c r="BI4" s="158"/>
      <c r="BJ4" s="158"/>
      <c r="BK4" s="158"/>
      <c r="BL4" s="159"/>
    </row>
    <row r="5" spans="1:64" s="22" customFormat="1" ht="15" customHeight="1" x14ac:dyDescent="0.25">
      <c r="A5" s="160"/>
      <c r="B5" s="161" t="s">
        <v>5</v>
      </c>
      <c r="C5" s="163" t="s">
        <v>23</v>
      </c>
      <c r="D5" s="165" t="s">
        <v>1</v>
      </c>
      <c r="E5" s="165" t="s">
        <v>3</v>
      </c>
      <c r="F5" s="165" t="s">
        <v>4</v>
      </c>
      <c r="I5" s="27">
        <f>Project_Start-WEEKDAY(Project_Start,1)+2+7*(Display_Week-1)</f>
        <v>45775</v>
      </c>
      <c r="J5" s="27">
        <f>I5+1</f>
        <v>45776</v>
      </c>
      <c r="K5" s="27">
        <f t="shared" ref="K5:AX5" si="0">J5+1</f>
        <v>45777</v>
      </c>
      <c r="L5" s="27">
        <f t="shared" si="0"/>
        <v>45778</v>
      </c>
      <c r="M5" s="27">
        <f t="shared" si="0"/>
        <v>45779</v>
      </c>
      <c r="N5" s="27">
        <f t="shared" si="0"/>
        <v>45780</v>
      </c>
      <c r="O5" s="28">
        <f t="shared" si="0"/>
        <v>45781</v>
      </c>
      <c r="P5" s="29">
        <f>O5+1</f>
        <v>45782</v>
      </c>
      <c r="Q5" s="27">
        <f>P5+1</f>
        <v>45783</v>
      </c>
      <c r="R5" s="27">
        <f t="shared" si="0"/>
        <v>45784</v>
      </c>
      <c r="S5" s="27">
        <f t="shared" si="0"/>
        <v>45785</v>
      </c>
      <c r="T5" s="27">
        <f t="shared" si="0"/>
        <v>45786</v>
      </c>
      <c r="U5" s="27">
        <f t="shared" si="0"/>
        <v>45787</v>
      </c>
      <c r="V5" s="28">
        <f t="shared" si="0"/>
        <v>45788</v>
      </c>
      <c r="W5" s="29">
        <f>V5+1</f>
        <v>45789</v>
      </c>
      <c r="X5" s="27">
        <f>W5+1</f>
        <v>45790</v>
      </c>
      <c r="Y5" s="27">
        <f t="shared" si="0"/>
        <v>45791</v>
      </c>
      <c r="Z5" s="27">
        <f t="shared" si="0"/>
        <v>45792</v>
      </c>
      <c r="AA5" s="27">
        <f t="shared" si="0"/>
        <v>45793</v>
      </c>
      <c r="AB5" s="27">
        <f t="shared" si="0"/>
        <v>45794</v>
      </c>
      <c r="AC5" s="28">
        <f t="shared" si="0"/>
        <v>45795</v>
      </c>
      <c r="AD5" s="29">
        <f>AC5+1</f>
        <v>45796</v>
      </c>
      <c r="AE5" s="27">
        <f>AD5+1</f>
        <v>45797</v>
      </c>
      <c r="AF5" s="27">
        <f t="shared" si="0"/>
        <v>45798</v>
      </c>
      <c r="AG5" s="27">
        <f t="shared" si="0"/>
        <v>45799</v>
      </c>
      <c r="AH5" s="27">
        <f t="shared" si="0"/>
        <v>45800</v>
      </c>
      <c r="AI5" s="27">
        <f t="shared" si="0"/>
        <v>45801</v>
      </c>
      <c r="AJ5" s="28">
        <f t="shared" si="0"/>
        <v>45802</v>
      </c>
      <c r="AK5" s="29">
        <f>AJ5+1</f>
        <v>45803</v>
      </c>
      <c r="AL5" s="27">
        <f>AK5+1</f>
        <v>45804</v>
      </c>
      <c r="AM5" s="27">
        <f t="shared" si="0"/>
        <v>45805</v>
      </c>
      <c r="AN5" s="27">
        <f t="shared" si="0"/>
        <v>45806</v>
      </c>
      <c r="AO5" s="27">
        <f t="shared" si="0"/>
        <v>45807</v>
      </c>
      <c r="AP5" s="27">
        <f t="shared" si="0"/>
        <v>45808</v>
      </c>
      <c r="AQ5" s="28">
        <f t="shared" si="0"/>
        <v>45809</v>
      </c>
      <c r="AR5" s="29">
        <f>AQ5+1</f>
        <v>45810</v>
      </c>
      <c r="AS5" s="27">
        <f>AR5+1</f>
        <v>45811</v>
      </c>
      <c r="AT5" s="27">
        <f t="shared" si="0"/>
        <v>45812</v>
      </c>
      <c r="AU5" s="27">
        <f t="shared" si="0"/>
        <v>45813</v>
      </c>
      <c r="AV5" s="27">
        <f t="shared" si="0"/>
        <v>45814</v>
      </c>
      <c r="AW5" s="27">
        <f t="shared" si="0"/>
        <v>45815</v>
      </c>
      <c r="AX5" s="28">
        <f t="shared" si="0"/>
        <v>45816</v>
      </c>
      <c r="AY5" s="29">
        <f>AX5+1</f>
        <v>45817</v>
      </c>
      <c r="AZ5" s="27">
        <f>AY5+1</f>
        <v>45818</v>
      </c>
      <c r="BA5" s="27">
        <f t="shared" ref="BA5:BE5" si="1">AZ5+1</f>
        <v>45819</v>
      </c>
      <c r="BB5" s="27">
        <f t="shared" si="1"/>
        <v>45820</v>
      </c>
      <c r="BC5" s="27">
        <f t="shared" si="1"/>
        <v>45821</v>
      </c>
      <c r="BD5" s="27">
        <f t="shared" si="1"/>
        <v>45822</v>
      </c>
      <c r="BE5" s="28">
        <f t="shared" si="1"/>
        <v>45823</v>
      </c>
      <c r="BF5" s="29">
        <f>BE5+1</f>
        <v>45824</v>
      </c>
      <c r="BG5" s="27">
        <f>BF5+1</f>
        <v>45825</v>
      </c>
      <c r="BH5" s="27">
        <f t="shared" ref="BH5:BL5" si="2">BG5+1</f>
        <v>45826</v>
      </c>
      <c r="BI5" s="27">
        <f t="shared" si="2"/>
        <v>45827</v>
      </c>
      <c r="BJ5" s="27">
        <f t="shared" si="2"/>
        <v>45828</v>
      </c>
      <c r="BK5" s="27">
        <f t="shared" si="2"/>
        <v>45829</v>
      </c>
      <c r="BL5" s="27">
        <f t="shared" si="2"/>
        <v>45830</v>
      </c>
    </row>
    <row r="6" spans="1:64" s="22" customFormat="1" ht="15" customHeight="1" thickBot="1" x14ac:dyDescent="0.3">
      <c r="A6" s="160"/>
      <c r="B6" s="162"/>
      <c r="C6" s="164"/>
      <c r="D6" s="164"/>
      <c r="E6" s="164"/>
      <c r="F6" s="164"/>
      <c r="I6" s="30" t="str">
        <f t="shared" ref="I6:BL6" si="3">LEFT(TEXT(I5,"ddd"),1)</f>
        <v>M</v>
      </c>
      <c r="J6" s="31" t="str">
        <f t="shared" si="3"/>
        <v>T</v>
      </c>
      <c r="K6" s="31" t="str">
        <f t="shared" si="3"/>
        <v>W</v>
      </c>
      <c r="L6" s="31" t="str">
        <f t="shared" si="3"/>
        <v>T</v>
      </c>
      <c r="M6" s="31" t="str">
        <f t="shared" si="3"/>
        <v>F</v>
      </c>
      <c r="N6" s="31" t="str">
        <f t="shared" si="3"/>
        <v>S</v>
      </c>
      <c r="O6" s="31" t="str">
        <f t="shared" si="3"/>
        <v>S</v>
      </c>
      <c r="P6" s="31" t="str">
        <f t="shared" si="3"/>
        <v>M</v>
      </c>
      <c r="Q6" s="31" t="str">
        <f t="shared" si="3"/>
        <v>T</v>
      </c>
      <c r="R6" s="31" t="str">
        <f t="shared" si="3"/>
        <v>W</v>
      </c>
      <c r="S6" s="31" t="str">
        <f t="shared" si="3"/>
        <v>T</v>
      </c>
      <c r="T6" s="31" t="str">
        <f t="shared" si="3"/>
        <v>F</v>
      </c>
      <c r="U6" s="31" t="str">
        <f t="shared" si="3"/>
        <v>S</v>
      </c>
      <c r="V6" s="31" t="str">
        <f t="shared" si="3"/>
        <v>S</v>
      </c>
      <c r="W6" s="31" t="str">
        <f t="shared" si="3"/>
        <v>M</v>
      </c>
      <c r="X6" s="31" t="str">
        <f t="shared" si="3"/>
        <v>T</v>
      </c>
      <c r="Y6" s="31" t="str">
        <f t="shared" si="3"/>
        <v>W</v>
      </c>
      <c r="Z6" s="31" t="str">
        <f t="shared" si="3"/>
        <v>T</v>
      </c>
      <c r="AA6" s="31" t="str">
        <f t="shared" si="3"/>
        <v>F</v>
      </c>
      <c r="AB6" s="31" t="str">
        <f t="shared" si="3"/>
        <v>S</v>
      </c>
      <c r="AC6" s="31" t="str">
        <f t="shared" si="3"/>
        <v>S</v>
      </c>
      <c r="AD6" s="31" t="str">
        <f t="shared" si="3"/>
        <v>M</v>
      </c>
      <c r="AE6" s="31" t="str">
        <f t="shared" si="3"/>
        <v>T</v>
      </c>
      <c r="AF6" s="31" t="str">
        <f t="shared" si="3"/>
        <v>W</v>
      </c>
      <c r="AG6" s="31" t="str">
        <f t="shared" si="3"/>
        <v>T</v>
      </c>
      <c r="AH6" s="31" t="str">
        <f t="shared" si="3"/>
        <v>F</v>
      </c>
      <c r="AI6" s="31" t="str">
        <f t="shared" si="3"/>
        <v>S</v>
      </c>
      <c r="AJ6" s="31" t="str">
        <f t="shared" si="3"/>
        <v>S</v>
      </c>
      <c r="AK6" s="31" t="str">
        <f t="shared" si="3"/>
        <v>M</v>
      </c>
      <c r="AL6" s="31" t="str">
        <f t="shared" si="3"/>
        <v>T</v>
      </c>
      <c r="AM6" s="31" t="str">
        <f t="shared" si="3"/>
        <v>W</v>
      </c>
      <c r="AN6" s="31" t="str">
        <f t="shared" si="3"/>
        <v>T</v>
      </c>
      <c r="AO6" s="31" t="str">
        <f t="shared" si="3"/>
        <v>F</v>
      </c>
      <c r="AP6" s="31" t="str">
        <f t="shared" si="3"/>
        <v>S</v>
      </c>
      <c r="AQ6" s="31" t="str">
        <f t="shared" si="3"/>
        <v>S</v>
      </c>
      <c r="AR6" s="31" t="str">
        <f t="shared" si="3"/>
        <v>M</v>
      </c>
      <c r="AS6" s="31" t="str">
        <f t="shared" si="3"/>
        <v>T</v>
      </c>
      <c r="AT6" s="31" t="str">
        <f t="shared" si="3"/>
        <v>W</v>
      </c>
      <c r="AU6" s="31" t="str">
        <f t="shared" si="3"/>
        <v>T</v>
      </c>
      <c r="AV6" s="31" t="str">
        <f t="shared" si="3"/>
        <v>F</v>
      </c>
      <c r="AW6" s="31" t="str">
        <f t="shared" si="3"/>
        <v>S</v>
      </c>
      <c r="AX6" s="31" t="str">
        <f t="shared" si="3"/>
        <v>S</v>
      </c>
      <c r="AY6" s="31" t="str">
        <f t="shared" si="3"/>
        <v>M</v>
      </c>
      <c r="AZ6" s="31" t="str">
        <f t="shared" si="3"/>
        <v>T</v>
      </c>
      <c r="BA6" s="31" t="str">
        <f t="shared" si="3"/>
        <v>W</v>
      </c>
      <c r="BB6" s="31" t="str">
        <f t="shared" si="3"/>
        <v>T</v>
      </c>
      <c r="BC6" s="31" t="str">
        <f t="shared" si="3"/>
        <v>F</v>
      </c>
      <c r="BD6" s="31" t="str">
        <f t="shared" si="3"/>
        <v>S</v>
      </c>
      <c r="BE6" s="31" t="str">
        <f t="shared" si="3"/>
        <v>S</v>
      </c>
      <c r="BF6" s="31" t="str">
        <f t="shared" si="3"/>
        <v>M</v>
      </c>
      <c r="BG6" s="31" t="str">
        <f t="shared" si="3"/>
        <v>T</v>
      </c>
      <c r="BH6" s="31" t="str">
        <f t="shared" si="3"/>
        <v>W</v>
      </c>
      <c r="BI6" s="31" t="str">
        <f t="shared" si="3"/>
        <v>T</v>
      </c>
      <c r="BJ6" s="31" t="str">
        <f t="shared" si="3"/>
        <v>F</v>
      </c>
      <c r="BK6" s="31" t="str">
        <f t="shared" si="3"/>
        <v>S</v>
      </c>
      <c r="BL6" s="32" t="str">
        <f t="shared" si="3"/>
        <v>S</v>
      </c>
    </row>
    <row r="7" spans="1:64" s="22" customFormat="1" ht="30" hidden="1" customHeight="1" thickBot="1" x14ac:dyDescent="0.3">
      <c r="A7" s="13" t="s">
        <v>20</v>
      </c>
      <c r="B7" s="33"/>
      <c r="C7" s="34"/>
      <c r="D7" s="33"/>
      <c r="E7" s="33"/>
      <c r="F7" s="33"/>
      <c r="H7" s="22" t="str">
        <f>IF(OR(ISBLANK(task_start),ISBLANK(task_end)),"",task_end-task_start+1)</f>
        <v/>
      </c>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row>
    <row r="8" spans="1:64" s="37" customFormat="1" ht="30" customHeight="1" thickBot="1" x14ac:dyDescent="0.3">
      <c r="A8" s="14"/>
      <c r="B8" s="97" t="s">
        <v>82</v>
      </c>
      <c r="C8" s="98"/>
      <c r="D8" s="99"/>
      <c r="E8" s="100"/>
      <c r="F8" s="101"/>
      <c r="G8" s="17"/>
      <c r="H8" s="5" t="str">
        <f t="shared" ref="H8:H72" si="4">IF(OR(ISBLANK(task_start),ISBLANK(task_end)),"",task_end-task_start+1)</f>
        <v/>
      </c>
      <c r="I8" s="38"/>
      <c r="J8" s="134"/>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row>
    <row r="9" spans="1:64" s="37" customFormat="1" ht="14.4" thickBot="1" x14ac:dyDescent="0.3">
      <c r="A9" s="14"/>
      <c r="B9" s="102" t="s">
        <v>28</v>
      </c>
      <c r="C9" s="94" t="s">
        <v>25</v>
      </c>
      <c r="D9" s="95">
        <v>0</v>
      </c>
      <c r="E9" s="96">
        <f>Project_Start</f>
        <v>45778</v>
      </c>
      <c r="F9" s="96">
        <f>E9+30</f>
        <v>45808</v>
      </c>
      <c r="G9" s="17"/>
      <c r="H9" s="5">
        <f t="shared" si="4"/>
        <v>31</v>
      </c>
      <c r="I9" s="116"/>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row>
    <row r="10" spans="1:64" s="37" customFormat="1" ht="53.4" thickBot="1" x14ac:dyDescent="0.3">
      <c r="A10" s="14"/>
      <c r="B10" s="102" t="s">
        <v>83</v>
      </c>
      <c r="C10" s="94" t="s">
        <v>33</v>
      </c>
      <c r="D10" s="95">
        <v>0</v>
      </c>
      <c r="E10" s="96">
        <v>45809</v>
      </c>
      <c r="F10" s="96">
        <f>E10+20</f>
        <v>45829</v>
      </c>
      <c r="G10" s="17"/>
      <c r="H10" s="5">
        <f t="shared" si="4"/>
        <v>21</v>
      </c>
      <c r="I10" s="116"/>
      <c r="J10" s="38"/>
      <c r="K10" s="38"/>
      <c r="L10" s="38"/>
      <c r="M10" s="38"/>
      <c r="N10" s="38"/>
      <c r="O10" s="38"/>
      <c r="P10" s="38"/>
      <c r="Q10" s="38"/>
      <c r="R10" s="38"/>
      <c r="S10" s="38"/>
      <c r="T10" s="38"/>
      <c r="U10" s="39"/>
      <c r="V10" s="39"/>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row>
    <row r="11" spans="1:64" s="37" customFormat="1" ht="14.4" thickBot="1" x14ac:dyDescent="0.3">
      <c r="A11" s="13"/>
      <c r="B11" s="93" t="s">
        <v>29</v>
      </c>
      <c r="C11" s="94" t="s">
        <v>25</v>
      </c>
      <c r="D11" s="95">
        <v>0</v>
      </c>
      <c r="E11" s="96">
        <v>45823</v>
      </c>
      <c r="F11" s="96">
        <f>E11+2</f>
        <v>45825</v>
      </c>
      <c r="G11" s="17"/>
      <c r="H11" s="5">
        <f t="shared" si="4"/>
        <v>3</v>
      </c>
      <c r="I11" s="116"/>
      <c r="J11" s="38" t="s">
        <v>84</v>
      </c>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row>
    <row r="12" spans="1:64" s="37" customFormat="1" ht="30" customHeight="1" thickBot="1" x14ac:dyDescent="0.3">
      <c r="A12" s="13"/>
      <c r="B12" s="102" t="s">
        <v>38</v>
      </c>
      <c r="C12" s="94" t="s">
        <v>25</v>
      </c>
      <c r="D12" s="95">
        <v>0</v>
      </c>
      <c r="E12" s="96">
        <v>45823</v>
      </c>
      <c r="F12" s="96">
        <f>E12+5</f>
        <v>45828</v>
      </c>
      <c r="H12" s="5">
        <f t="shared" si="4"/>
        <v>6</v>
      </c>
      <c r="I12" s="115">
        <v>0</v>
      </c>
      <c r="J12" s="38"/>
      <c r="K12" s="38"/>
      <c r="L12" s="38"/>
      <c r="M12" s="38"/>
      <c r="N12" s="38"/>
      <c r="O12" s="38"/>
      <c r="P12" s="38"/>
      <c r="Q12" s="38"/>
      <c r="R12" s="38"/>
      <c r="S12" s="38"/>
      <c r="T12" s="38"/>
      <c r="U12" s="38"/>
      <c r="V12" s="38"/>
      <c r="W12" s="38"/>
      <c r="X12" s="38"/>
      <c r="Y12" s="39"/>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row>
    <row r="13" spans="1:64" s="37" customFormat="1" ht="30" customHeight="1" thickBot="1" x14ac:dyDescent="0.3">
      <c r="A13" s="13"/>
      <c r="B13" s="93" t="s">
        <v>31</v>
      </c>
      <c r="C13" s="94" t="s">
        <v>25</v>
      </c>
      <c r="D13" s="95">
        <v>0</v>
      </c>
      <c r="E13" s="96">
        <v>45845</v>
      </c>
      <c r="F13" s="96">
        <f>E13+5</f>
        <v>45850</v>
      </c>
      <c r="G13" s="17"/>
      <c r="H13" s="5">
        <f t="shared" si="4"/>
        <v>6</v>
      </c>
      <c r="I13" s="115">
        <f>'MI&amp;E Calcs'!S20</f>
        <v>3730</v>
      </c>
      <c r="J13" s="114" t="s">
        <v>131</v>
      </c>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row>
    <row r="14" spans="1:64" s="37" customFormat="1" ht="30" customHeight="1" thickBot="1" x14ac:dyDescent="0.3">
      <c r="A14" s="13"/>
      <c r="B14" s="93" t="s">
        <v>32</v>
      </c>
      <c r="C14" s="94" t="s">
        <v>33</v>
      </c>
      <c r="D14" s="95">
        <v>0</v>
      </c>
      <c r="E14" s="96">
        <v>45850</v>
      </c>
      <c r="F14" s="96">
        <f>E14+14</f>
        <v>45864</v>
      </c>
      <c r="G14" s="17"/>
      <c r="H14" s="5"/>
    </row>
    <row r="15" spans="1:64" s="37" customFormat="1" ht="30" customHeight="1" thickBot="1" x14ac:dyDescent="0.3">
      <c r="A15" s="13"/>
      <c r="B15" s="93" t="s">
        <v>37</v>
      </c>
      <c r="C15" s="94" t="s">
        <v>53</v>
      </c>
      <c r="D15" s="95"/>
      <c r="E15" s="96"/>
      <c r="F15" s="96"/>
      <c r="G15" s="17"/>
      <c r="H15" s="5"/>
      <c r="I15" s="113"/>
    </row>
    <row r="16" spans="1:64" s="37" customFormat="1" ht="30" customHeight="1" thickBot="1" x14ac:dyDescent="0.3">
      <c r="A16" s="14"/>
      <c r="B16" s="40" t="s">
        <v>34</v>
      </c>
      <c r="C16" s="41"/>
      <c r="D16" s="42"/>
      <c r="E16" s="43"/>
      <c r="F16" s="44"/>
      <c r="G16" s="17"/>
      <c r="H16" s="5" t="str">
        <f t="shared" si="4"/>
        <v/>
      </c>
    </row>
    <row r="17" spans="1:64" s="37" customFormat="1" ht="40.200000000000003" thickBot="1" x14ac:dyDescent="0.3">
      <c r="A17" s="14"/>
      <c r="B17" s="87" t="s">
        <v>39</v>
      </c>
      <c r="C17" s="88" t="s">
        <v>35</v>
      </c>
      <c r="D17" s="46">
        <v>0</v>
      </c>
      <c r="E17" s="47">
        <v>45870</v>
      </c>
      <c r="F17" s="47">
        <f>E17+60</f>
        <v>45930</v>
      </c>
      <c r="G17" s="17"/>
      <c r="H17" s="5">
        <f t="shared" si="4"/>
        <v>61</v>
      </c>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row>
    <row r="18" spans="1:64" s="37" customFormat="1" ht="30" customHeight="1" thickBot="1" x14ac:dyDescent="0.3">
      <c r="A18" s="13"/>
      <c r="B18" s="87" t="s">
        <v>36</v>
      </c>
      <c r="C18" s="45" t="s">
        <v>25</v>
      </c>
      <c r="D18" s="46">
        <v>0</v>
      </c>
      <c r="E18" s="47">
        <f>E17</f>
        <v>45870</v>
      </c>
      <c r="F18" s="47">
        <f>E18+60</f>
        <v>45930</v>
      </c>
      <c r="G18" s="17"/>
      <c r="H18" s="5">
        <f t="shared" si="4"/>
        <v>61</v>
      </c>
      <c r="I18" s="115"/>
      <c r="J18" s="114"/>
      <c r="K18" s="38"/>
      <c r="L18" s="38"/>
      <c r="M18" s="38"/>
      <c r="N18" s="38"/>
      <c r="O18" s="38"/>
      <c r="P18" s="38"/>
      <c r="Q18" s="38"/>
      <c r="R18" s="38"/>
      <c r="S18" s="38"/>
      <c r="T18" s="38"/>
      <c r="U18" s="39"/>
      <c r="V18" s="39"/>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row>
    <row r="19" spans="1:64" s="37" customFormat="1" ht="40.200000000000003" thickBot="1" x14ac:dyDescent="0.3">
      <c r="A19" s="13"/>
      <c r="B19" s="89" t="s">
        <v>40</v>
      </c>
      <c r="C19" s="88" t="s">
        <v>35</v>
      </c>
      <c r="D19" s="90">
        <v>0</v>
      </c>
      <c r="E19" s="47">
        <f>E18</f>
        <v>45870</v>
      </c>
      <c r="F19" s="47">
        <f>E19+60</f>
        <v>45930</v>
      </c>
      <c r="G19" s="17"/>
      <c r="H19" s="5"/>
      <c r="I19" s="53"/>
      <c r="J19" s="53"/>
      <c r="K19" s="53"/>
      <c r="L19" s="53"/>
      <c r="M19" s="53"/>
      <c r="N19" s="53"/>
      <c r="O19" s="53"/>
      <c r="P19" s="53"/>
      <c r="Q19" s="53"/>
      <c r="R19" s="53"/>
      <c r="S19" s="53"/>
      <c r="T19" s="53"/>
      <c r="U19" s="92"/>
      <c r="V19" s="92"/>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row>
    <row r="20" spans="1:64" s="37" customFormat="1" ht="30" customHeight="1" thickBot="1" x14ac:dyDescent="0.3">
      <c r="A20" s="13"/>
      <c r="B20" s="89" t="s">
        <v>41</v>
      </c>
      <c r="C20" s="103" t="s">
        <v>54</v>
      </c>
      <c r="D20" s="90">
        <v>0</v>
      </c>
      <c r="E20" s="91">
        <v>45901</v>
      </c>
      <c r="F20" s="91">
        <f>E20+29</f>
        <v>45930</v>
      </c>
      <c r="G20" s="17"/>
      <c r="H20" s="5"/>
      <c r="I20" s="117">
        <v>0</v>
      </c>
      <c r="J20" s="53"/>
      <c r="K20" s="53"/>
      <c r="L20" s="53"/>
      <c r="M20" s="53"/>
      <c r="N20" s="53"/>
      <c r="O20" s="53"/>
      <c r="P20" s="53"/>
      <c r="Q20" s="53"/>
      <c r="R20" s="53"/>
      <c r="S20" s="53"/>
      <c r="T20" s="53"/>
      <c r="U20" s="92"/>
      <c r="V20" s="92"/>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row>
    <row r="21" spans="1:64" s="37" customFormat="1" ht="30" customHeight="1" thickBot="1" x14ac:dyDescent="0.3">
      <c r="A21" s="13"/>
      <c r="B21" s="48" t="s">
        <v>87</v>
      </c>
      <c r="C21" s="49"/>
      <c r="D21" s="50"/>
      <c r="E21" s="51"/>
      <c r="F21" s="52"/>
      <c r="G21" s="17"/>
      <c r="H21" s="5" t="str">
        <f t="shared" si="4"/>
        <v/>
      </c>
      <c r="I21" s="53"/>
      <c r="J21" s="133">
        <f>SUM(I22+I24+I25)</f>
        <v>9698</v>
      </c>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row>
    <row r="22" spans="1:64" s="37" customFormat="1" ht="30" customHeight="1" thickBot="1" x14ac:dyDescent="0.3">
      <c r="A22" s="13"/>
      <c r="B22" s="108" t="s">
        <v>51</v>
      </c>
      <c r="C22" s="109" t="s">
        <v>53</v>
      </c>
      <c r="D22" s="56">
        <v>0</v>
      </c>
      <c r="E22" s="57">
        <v>45931</v>
      </c>
      <c r="F22" s="57">
        <f>E22+2</f>
        <v>45933</v>
      </c>
      <c r="G22" s="17"/>
      <c r="H22" s="5">
        <f t="shared" si="4"/>
        <v>3</v>
      </c>
      <c r="I22" s="115">
        <v>800</v>
      </c>
      <c r="J22" s="38" t="s">
        <v>90</v>
      </c>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row>
    <row r="23" spans="1:64" s="37" customFormat="1" ht="40.200000000000003" thickBot="1" x14ac:dyDescent="0.3">
      <c r="A23" s="13"/>
      <c r="B23" s="108" t="s">
        <v>85</v>
      </c>
      <c r="C23" s="109" t="s">
        <v>93</v>
      </c>
      <c r="D23" s="56">
        <v>0</v>
      </c>
      <c r="E23" s="57">
        <f>F22</f>
        <v>45933</v>
      </c>
      <c r="F23" s="57">
        <f>E23+3</f>
        <v>45936</v>
      </c>
      <c r="G23" s="17"/>
      <c r="H23" s="5"/>
      <c r="I23" s="115">
        <v>5900</v>
      </c>
      <c r="J23" s="38" t="s">
        <v>148</v>
      </c>
      <c r="K23" s="63"/>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row>
    <row r="24" spans="1:64" s="37" customFormat="1" ht="30" customHeight="1" thickBot="1" x14ac:dyDescent="0.3">
      <c r="A24" s="13"/>
      <c r="B24" s="108" t="s">
        <v>51</v>
      </c>
      <c r="C24" s="109" t="s">
        <v>94</v>
      </c>
      <c r="D24" s="56">
        <v>0</v>
      </c>
      <c r="E24" s="57">
        <v>45934</v>
      </c>
      <c r="F24" s="57">
        <v>45935</v>
      </c>
      <c r="G24" s="17"/>
      <c r="H24" s="5"/>
      <c r="I24" s="115">
        <v>1834</v>
      </c>
      <c r="J24" s="38" t="s">
        <v>147</v>
      </c>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row>
    <row r="25" spans="1:64" s="37" customFormat="1" ht="30" customHeight="1" thickBot="1" x14ac:dyDescent="0.3">
      <c r="A25" s="13"/>
      <c r="B25" s="54" t="s">
        <v>42</v>
      </c>
      <c r="C25" s="55" t="s">
        <v>116</v>
      </c>
      <c r="D25" s="56">
        <v>0</v>
      </c>
      <c r="E25" s="57">
        <f>F22+3</f>
        <v>45936</v>
      </c>
      <c r="F25" s="57">
        <f>E25+4</f>
        <v>45940</v>
      </c>
      <c r="G25" s="17"/>
      <c r="H25" s="5">
        <f t="shared" si="4"/>
        <v>5</v>
      </c>
      <c r="I25" s="115">
        <f>'MI&amp;E Calcs'!I16</f>
        <v>7064</v>
      </c>
      <c r="J25" s="114" t="s">
        <v>151</v>
      </c>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row>
    <row r="26" spans="1:64" s="37" customFormat="1" ht="30" customHeight="1" thickBot="1" x14ac:dyDescent="0.3">
      <c r="A26" s="13"/>
      <c r="B26" s="108" t="s">
        <v>45</v>
      </c>
      <c r="C26" s="55" t="s">
        <v>43</v>
      </c>
      <c r="D26" s="56">
        <v>0</v>
      </c>
      <c r="E26" s="57">
        <f>F25</f>
        <v>45940</v>
      </c>
      <c r="F26" s="57">
        <f>E26</f>
        <v>45940</v>
      </c>
      <c r="G26" s="17"/>
      <c r="H26" s="5">
        <f t="shared" si="4"/>
        <v>1</v>
      </c>
      <c r="I26" s="115">
        <v>0</v>
      </c>
      <c r="J26" s="38" t="s">
        <v>101</v>
      </c>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row>
    <row r="27" spans="1:64" s="37" customFormat="1" ht="30" customHeight="1" thickBot="1" x14ac:dyDescent="0.3">
      <c r="A27" s="13"/>
      <c r="B27" s="110" t="s">
        <v>36</v>
      </c>
      <c r="C27" s="111" t="s">
        <v>64</v>
      </c>
      <c r="D27" s="106">
        <v>0</v>
      </c>
      <c r="E27" s="107">
        <v>45931</v>
      </c>
      <c r="F27" s="107">
        <f>E27+60</f>
        <v>45991</v>
      </c>
      <c r="G27" s="17"/>
      <c r="H27" s="5"/>
      <c r="I27" s="38"/>
      <c r="J27" s="38" t="s">
        <v>86</v>
      </c>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row>
    <row r="28" spans="1:64" s="37" customFormat="1" ht="30" customHeight="1" thickBot="1" x14ac:dyDescent="0.3">
      <c r="A28" s="13"/>
      <c r="B28" s="54" t="s">
        <v>46</v>
      </c>
      <c r="C28" s="55" t="s">
        <v>44</v>
      </c>
      <c r="D28" s="56">
        <v>0</v>
      </c>
      <c r="E28" s="57">
        <f>F26</f>
        <v>45940</v>
      </c>
      <c r="F28" s="57">
        <f>E28+10</f>
        <v>45950</v>
      </c>
      <c r="G28" s="17"/>
      <c r="H28" s="5">
        <f t="shared" si="4"/>
        <v>11</v>
      </c>
      <c r="I28" s="38"/>
      <c r="J28" s="38" t="s">
        <v>100</v>
      </c>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row>
    <row r="29" spans="1:64" s="37" customFormat="1" ht="30" customHeight="1" thickBot="1" x14ac:dyDescent="0.3">
      <c r="A29" s="13"/>
      <c r="B29" s="104" t="s">
        <v>52</v>
      </c>
      <c r="C29" s="109" t="s">
        <v>50</v>
      </c>
      <c r="D29" s="106">
        <v>0</v>
      </c>
      <c r="E29" s="107">
        <v>45941</v>
      </c>
      <c r="F29" s="107">
        <f>E29+2</f>
        <v>45943</v>
      </c>
      <c r="G29" s="17"/>
      <c r="H29" s="5"/>
      <c r="I29" s="63"/>
      <c r="J29" s="38" t="s">
        <v>91</v>
      </c>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row>
    <row r="30" spans="1:64" s="37" customFormat="1" ht="30" customHeight="1" thickBot="1" x14ac:dyDescent="0.3">
      <c r="A30" s="13"/>
      <c r="B30" s="104" t="s">
        <v>65</v>
      </c>
      <c r="C30" s="111" t="s">
        <v>63</v>
      </c>
      <c r="D30" s="106">
        <v>0</v>
      </c>
      <c r="E30" s="107">
        <v>45931</v>
      </c>
      <c r="F30" s="107">
        <f>E30+80</f>
        <v>46011</v>
      </c>
      <c r="G30" s="17"/>
      <c r="H30" s="5"/>
      <c r="I30" s="117">
        <v>0</v>
      </c>
      <c r="J30" s="53" t="s">
        <v>117</v>
      </c>
      <c r="K30" s="5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row>
    <row r="31" spans="1:64" s="37" customFormat="1" ht="30" customHeight="1" thickBot="1" x14ac:dyDescent="0.3">
      <c r="A31" s="13"/>
      <c r="B31" s="48" t="s">
        <v>88</v>
      </c>
      <c r="C31" s="49"/>
      <c r="D31" s="50"/>
      <c r="E31" s="51"/>
      <c r="F31" s="52"/>
      <c r="G31" s="17"/>
      <c r="H31" s="5"/>
      <c r="I31" s="63"/>
      <c r="J31" s="131">
        <f>SUM(I32+I34+I35)</f>
        <v>11375</v>
      </c>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row>
    <row r="32" spans="1:64" s="37" customFormat="1" ht="30" customHeight="1" thickBot="1" x14ac:dyDescent="0.3">
      <c r="A32" s="13"/>
      <c r="B32" s="108" t="s">
        <v>55</v>
      </c>
      <c r="C32" s="109" t="s">
        <v>53</v>
      </c>
      <c r="D32" s="56">
        <v>0</v>
      </c>
      <c r="E32" s="57">
        <v>45962</v>
      </c>
      <c r="F32" s="57">
        <f>E32+2</f>
        <v>45964</v>
      </c>
      <c r="G32" s="17"/>
      <c r="H32" s="119">
        <v>260</v>
      </c>
      <c r="I32" s="116">
        <v>260</v>
      </c>
      <c r="J32" s="63" t="s">
        <v>92</v>
      </c>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3"/>
    </row>
    <row r="33" spans="1:64" s="37" customFormat="1" ht="40.200000000000003" thickBot="1" x14ac:dyDescent="0.3">
      <c r="A33" s="13"/>
      <c r="B33" s="108" t="s">
        <v>85</v>
      </c>
      <c r="C33" s="109" t="s">
        <v>57</v>
      </c>
      <c r="D33" s="56">
        <v>0</v>
      </c>
      <c r="E33" s="57">
        <f>F32</f>
        <v>45964</v>
      </c>
      <c r="F33" s="57">
        <f>E33+3</f>
        <v>45967</v>
      </c>
      <c r="G33" s="17"/>
      <c r="H33" s="5"/>
      <c r="I33" s="115">
        <v>5900</v>
      </c>
      <c r="J33" s="38" t="s">
        <v>148</v>
      </c>
      <c r="K33" s="63"/>
      <c r="L33" s="38"/>
      <c r="M33" s="38"/>
      <c r="N33" s="38"/>
      <c r="O33" s="38"/>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row>
    <row r="34" spans="1:64" s="37" customFormat="1" ht="30" customHeight="1" thickBot="1" x14ac:dyDescent="0.3">
      <c r="A34" s="13"/>
      <c r="B34" s="108" t="s">
        <v>55</v>
      </c>
      <c r="C34" s="109" t="s">
        <v>56</v>
      </c>
      <c r="D34" s="56">
        <v>0</v>
      </c>
      <c r="E34" s="57">
        <v>45966</v>
      </c>
      <c r="F34" s="57">
        <f>E34+1</f>
        <v>45967</v>
      </c>
      <c r="G34" s="17"/>
      <c r="H34" s="5"/>
      <c r="I34" s="115">
        <v>1839</v>
      </c>
      <c r="J34" s="38" t="s">
        <v>97</v>
      </c>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row>
    <row r="35" spans="1:64" s="37" customFormat="1" ht="30" customHeight="1" thickBot="1" x14ac:dyDescent="0.3">
      <c r="A35" s="13"/>
      <c r="B35" s="54" t="s">
        <v>47</v>
      </c>
      <c r="C35" s="55" t="s">
        <v>116</v>
      </c>
      <c r="D35" s="56">
        <v>0</v>
      </c>
      <c r="E35" s="57">
        <f>F32+3</f>
        <v>45967</v>
      </c>
      <c r="F35" s="57">
        <f>E35+4</f>
        <v>45971</v>
      </c>
      <c r="G35" s="17"/>
      <c r="H35" s="5"/>
      <c r="I35" s="119">
        <f>'MI&amp;E Calcs'!I23</f>
        <v>9276</v>
      </c>
      <c r="J35" s="114" t="s">
        <v>128</v>
      </c>
      <c r="K35" s="38"/>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row>
    <row r="36" spans="1:64" s="37" customFormat="1" ht="30" customHeight="1" thickBot="1" x14ac:dyDescent="0.3">
      <c r="A36" s="13"/>
      <c r="B36" s="108" t="s">
        <v>45</v>
      </c>
      <c r="C36" s="55" t="s">
        <v>43</v>
      </c>
      <c r="D36" s="56">
        <v>0</v>
      </c>
      <c r="E36" s="57">
        <f>F35</f>
        <v>45971</v>
      </c>
      <c r="F36" s="57">
        <f>E36</f>
        <v>45971</v>
      </c>
      <c r="G36" s="17"/>
      <c r="H36" s="5"/>
      <c r="I36" s="119">
        <v>0</v>
      </c>
      <c r="J36" s="63" t="s">
        <v>102</v>
      </c>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row>
    <row r="37" spans="1:64" s="37" customFormat="1" ht="30" customHeight="1" thickBot="1" x14ac:dyDescent="0.3">
      <c r="A37" s="13"/>
      <c r="B37" s="54" t="s">
        <v>48</v>
      </c>
      <c r="C37" s="55" t="s">
        <v>44</v>
      </c>
      <c r="D37" s="56">
        <v>0</v>
      </c>
      <c r="E37" s="57">
        <f>F36</f>
        <v>45971</v>
      </c>
      <c r="F37" s="57">
        <f>E37+10</f>
        <v>45981</v>
      </c>
      <c r="G37" s="17"/>
      <c r="H37" s="5"/>
      <c r="I37" s="119">
        <v>0</v>
      </c>
      <c r="J37" s="63" t="s">
        <v>100</v>
      </c>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c r="BI37" s="63"/>
      <c r="BJ37" s="63"/>
      <c r="BK37" s="63"/>
      <c r="BL37" s="63"/>
    </row>
    <row r="38" spans="1:64" s="37" customFormat="1" ht="30" customHeight="1" thickBot="1" x14ac:dyDescent="0.3">
      <c r="A38" s="13"/>
      <c r="B38" s="104" t="s">
        <v>52</v>
      </c>
      <c r="C38" s="109" t="s">
        <v>56</v>
      </c>
      <c r="D38" s="106"/>
      <c r="E38" s="107">
        <v>45979</v>
      </c>
      <c r="F38" s="107">
        <f>E38+2</f>
        <v>45981</v>
      </c>
      <c r="G38" s="17"/>
      <c r="H38" s="5"/>
      <c r="I38" s="119">
        <v>0</v>
      </c>
      <c r="J38" s="63" t="s">
        <v>99</v>
      </c>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row>
    <row r="39" spans="1:64" s="37" customFormat="1" ht="30" customHeight="1" thickBot="1" x14ac:dyDescent="0.3">
      <c r="A39" s="13"/>
      <c r="B39" s="48" t="s">
        <v>89</v>
      </c>
      <c r="C39" s="49"/>
      <c r="D39" s="50"/>
      <c r="E39" s="51"/>
      <c r="F39" s="52"/>
      <c r="G39" s="17"/>
      <c r="H39" s="5"/>
      <c r="J39" s="135">
        <f>SUM(I40+I42+I43)</f>
        <v>12498</v>
      </c>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c r="BI39" s="63"/>
      <c r="BJ39" s="63"/>
      <c r="BK39" s="63"/>
      <c r="BL39" s="63"/>
    </row>
    <row r="40" spans="1:64" s="37" customFormat="1" ht="30" customHeight="1" thickBot="1" x14ac:dyDescent="0.3">
      <c r="A40" s="13"/>
      <c r="B40" s="108" t="s">
        <v>59</v>
      </c>
      <c r="C40" s="109" t="s">
        <v>53</v>
      </c>
      <c r="D40" s="56">
        <v>0</v>
      </c>
      <c r="E40" s="57">
        <v>45992</v>
      </c>
      <c r="F40" s="57">
        <f>E40+2</f>
        <v>45994</v>
      </c>
      <c r="G40" s="17"/>
      <c r="H40" s="5"/>
      <c r="I40" s="119">
        <v>3372</v>
      </c>
      <c r="J40" s="63" t="s">
        <v>95</v>
      </c>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3"/>
    </row>
    <row r="41" spans="1:64" s="37" customFormat="1" ht="40.200000000000003" thickBot="1" x14ac:dyDescent="0.3">
      <c r="A41" s="13"/>
      <c r="B41" s="108" t="s">
        <v>85</v>
      </c>
      <c r="C41" s="109" t="s">
        <v>58</v>
      </c>
      <c r="D41" s="56">
        <v>0</v>
      </c>
      <c r="E41" s="57">
        <f>F40</f>
        <v>45994</v>
      </c>
      <c r="F41" s="57">
        <f>E41+3</f>
        <v>45997</v>
      </c>
      <c r="G41" s="17"/>
      <c r="H41" s="5"/>
      <c r="I41" s="115">
        <v>5900</v>
      </c>
      <c r="J41" s="38" t="s">
        <v>148</v>
      </c>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row>
    <row r="42" spans="1:64" s="37" customFormat="1" ht="30" customHeight="1" thickBot="1" x14ac:dyDescent="0.3">
      <c r="A42" s="13"/>
      <c r="B42" s="108" t="s">
        <v>59</v>
      </c>
      <c r="C42" s="109" t="s">
        <v>61</v>
      </c>
      <c r="D42" s="56">
        <v>0</v>
      </c>
      <c r="E42" s="57">
        <v>45996</v>
      </c>
      <c r="F42" s="57">
        <f>E42+1</f>
        <v>45997</v>
      </c>
      <c r="G42" s="17"/>
      <c r="H42" s="5"/>
      <c r="I42" s="115">
        <v>3372</v>
      </c>
      <c r="J42" s="38" t="s">
        <v>96</v>
      </c>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3"/>
    </row>
    <row r="43" spans="1:64" s="37" customFormat="1" ht="30" customHeight="1" thickBot="1" x14ac:dyDescent="0.3">
      <c r="A43" s="13"/>
      <c r="B43" s="54" t="s">
        <v>60</v>
      </c>
      <c r="C43" s="55" t="s">
        <v>116</v>
      </c>
      <c r="D43" s="56">
        <v>0</v>
      </c>
      <c r="E43" s="57">
        <f>F40+3</f>
        <v>45997</v>
      </c>
      <c r="F43" s="57">
        <f>E43+4</f>
        <v>46001</v>
      </c>
      <c r="G43" s="17"/>
      <c r="H43" s="5"/>
      <c r="I43" s="119">
        <f>'MI&amp;E Calcs'!I30</f>
        <v>5754</v>
      </c>
      <c r="J43" s="114" t="s">
        <v>129</v>
      </c>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row>
    <row r="44" spans="1:64" s="37" customFormat="1" ht="30" customHeight="1" thickBot="1" x14ac:dyDescent="0.3">
      <c r="A44" s="13"/>
      <c r="B44" s="108" t="s">
        <v>45</v>
      </c>
      <c r="C44" s="55" t="s">
        <v>43</v>
      </c>
      <c r="D44" s="56">
        <v>0</v>
      </c>
      <c r="E44" s="57">
        <f>F43</f>
        <v>46001</v>
      </c>
      <c r="F44" s="57">
        <f>E44</f>
        <v>46001</v>
      </c>
      <c r="G44" s="17"/>
      <c r="H44" s="5"/>
      <c r="J44" s="63" t="s">
        <v>103</v>
      </c>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63"/>
      <c r="BH44" s="63"/>
      <c r="BI44" s="63"/>
      <c r="BJ44" s="63"/>
      <c r="BK44" s="63"/>
      <c r="BL44" s="63"/>
    </row>
    <row r="45" spans="1:64" s="37" customFormat="1" ht="30" customHeight="1" thickBot="1" x14ac:dyDescent="0.3">
      <c r="A45" s="13"/>
      <c r="B45" s="54" t="s">
        <v>68</v>
      </c>
      <c r="C45" s="55" t="s">
        <v>44</v>
      </c>
      <c r="D45" s="56">
        <v>0</v>
      </c>
      <c r="E45" s="57">
        <f>F44</f>
        <v>46001</v>
      </c>
      <c r="F45" s="57">
        <f>E45+10</f>
        <v>46011</v>
      </c>
      <c r="G45" s="17"/>
      <c r="H45" s="5"/>
      <c r="I45" s="119">
        <v>0</v>
      </c>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63"/>
      <c r="BH45" s="63"/>
      <c r="BI45" s="63"/>
      <c r="BJ45" s="63"/>
      <c r="BK45" s="63"/>
      <c r="BL45" s="63"/>
    </row>
    <row r="46" spans="1:64" s="37" customFormat="1" ht="30" customHeight="1" thickBot="1" x14ac:dyDescent="0.3">
      <c r="A46" s="13"/>
      <c r="B46" s="104" t="s">
        <v>52</v>
      </c>
      <c r="C46" s="109" t="s">
        <v>61</v>
      </c>
      <c r="D46" s="106"/>
      <c r="E46" s="107">
        <v>46009</v>
      </c>
      <c r="F46" s="107">
        <f>E46+2</f>
        <v>46011</v>
      </c>
      <c r="G46" s="17"/>
      <c r="H46" s="5"/>
      <c r="I46" s="119">
        <v>0</v>
      </c>
      <c r="J46" s="63" t="s">
        <v>98</v>
      </c>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row>
    <row r="47" spans="1:64" s="37" customFormat="1" ht="30" customHeight="1" thickBot="1" x14ac:dyDescent="0.3">
      <c r="A47" s="13"/>
      <c r="B47" s="110" t="s">
        <v>49</v>
      </c>
      <c r="C47" s="105" t="s">
        <v>62</v>
      </c>
      <c r="D47" s="106"/>
      <c r="E47" s="107">
        <v>46001</v>
      </c>
      <c r="F47" s="107"/>
      <c r="G47" s="17"/>
      <c r="H47" s="5"/>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63"/>
      <c r="BH47" s="63"/>
      <c r="BI47" s="63"/>
      <c r="BJ47" s="63"/>
      <c r="BK47" s="63"/>
      <c r="BL47" s="63"/>
    </row>
    <row r="48" spans="1:64" s="37" customFormat="1" ht="30" customHeight="1" thickBot="1" x14ac:dyDescent="0.3">
      <c r="A48" s="13"/>
      <c r="B48" s="48" t="s">
        <v>114</v>
      </c>
      <c r="C48" s="49"/>
      <c r="D48" s="50"/>
      <c r="E48" s="51"/>
      <c r="F48" s="52"/>
      <c r="G48" s="17"/>
      <c r="H48" s="5"/>
      <c r="I48" s="63"/>
      <c r="J48" s="131">
        <f>SUM(I50)</f>
        <v>3471</v>
      </c>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row>
    <row r="49" spans="1:64" s="37" customFormat="1" ht="40.200000000000003" thickBot="1" x14ac:dyDescent="0.3">
      <c r="A49" s="13"/>
      <c r="B49" s="108" t="s">
        <v>113</v>
      </c>
      <c r="C49" s="109" t="s">
        <v>67</v>
      </c>
      <c r="D49" s="56">
        <v>0</v>
      </c>
      <c r="E49" s="57">
        <v>46025</v>
      </c>
      <c r="F49" s="57">
        <f>E49+2</f>
        <v>46027</v>
      </c>
      <c r="G49" s="17"/>
      <c r="H49" s="5"/>
      <c r="I49" s="119">
        <v>4900</v>
      </c>
      <c r="J49" s="38" t="s">
        <v>149</v>
      </c>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63"/>
      <c r="BB49" s="63"/>
      <c r="BC49" s="63"/>
      <c r="BD49" s="63"/>
      <c r="BE49" s="63"/>
      <c r="BF49" s="63"/>
      <c r="BG49" s="63"/>
      <c r="BH49" s="63"/>
      <c r="BI49" s="63"/>
      <c r="BJ49" s="63"/>
      <c r="BK49" s="63"/>
      <c r="BL49" s="63"/>
    </row>
    <row r="50" spans="1:64" s="37" customFormat="1" ht="30" customHeight="1" thickBot="1" x14ac:dyDescent="0.3">
      <c r="A50" s="13"/>
      <c r="B50" s="54" t="s">
        <v>42</v>
      </c>
      <c r="C50" s="109" t="s">
        <v>115</v>
      </c>
      <c r="D50" s="56">
        <v>0</v>
      </c>
      <c r="E50" s="57">
        <f>F49+3</f>
        <v>46030</v>
      </c>
      <c r="F50" s="57">
        <f>E50+10</f>
        <v>46040</v>
      </c>
      <c r="G50" s="17"/>
      <c r="H50" s="5"/>
      <c r="I50" s="131">
        <f>'MI&amp;E Calcs'!I46</f>
        <v>3471</v>
      </c>
      <c r="J50" s="114" t="s">
        <v>146</v>
      </c>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63"/>
      <c r="BH50" s="63"/>
      <c r="BI50" s="63"/>
      <c r="BJ50" s="63"/>
      <c r="BK50" s="63"/>
      <c r="BL50" s="63"/>
    </row>
    <row r="51" spans="1:64" s="37" customFormat="1" ht="30" customHeight="1" thickBot="1" x14ac:dyDescent="0.3">
      <c r="A51" s="13"/>
      <c r="B51" s="108" t="s">
        <v>45</v>
      </c>
      <c r="C51" s="55" t="s">
        <v>66</v>
      </c>
      <c r="D51" s="56">
        <v>0</v>
      </c>
      <c r="E51" s="57">
        <f>F50</f>
        <v>46040</v>
      </c>
      <c r="F51" s="57">
        <f>E51+2</f>
        <v>46042</v>
      </c>
      <c r="G51" s="17"/>
      <c r="H51" s="5"/>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row>
    <row r="52" spans="1:64" s="37" customFormat="1" ht="30" customHeight="1" thickBot="1" x14ac:dyDescent="0.3">
      <c r="A52" s="13"/>
      <c r="B52" s="54" t="s">
        <v>69</v>
      </c>
      <c r="C52" s="55" t="s">
        <v>44</v>
      </c>
      <c r="D52" s="56">
        <v>0</v>
      </c>
      <c r="E52" s="57">
        <f>F51</f>
        <v>46042</v>
      </c>
      <c r="F52" s="57">
        <f>E52+10</f>
        <v>46052</v>
      </c>
      <c r="G52" s="17"/>
      <c r="H52" s="5"/>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63"/>
      <c r="BH52" s="63"/>
      <c r="BI52" s="63"/>
      <c r="BJ52" s="63"/>
      <c r="BK52" s="63"/>
      <c r="BL52" s="63"/>
    </row>
    <row r="53" spans="1:64" s="37" customFormat="1" ht="30" customHeight="1" thickBot="1" x14ac:dyDescent="0.3">
      <c r="A53" s="13"/>
      <c r="B53" s="48" t="s">
        <v>118</v>
      </c>
      <c r="C53" s="49"/>
      <c r="D53" s="50"/>
      <c r="E53" s="51"/>
      <c r="F53" s="52"/>
      <c r="G53" s="17"/>
      <c r="H53" s="5"/>
      <c r="I53" s="63"/>
      <c r="J53" s="131">
        <f>SUM(I54+I56)</f>
        <v>8010</v>
      </c>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63"/>
      <c r="BH53" s="63"/>
      <c r="BI53" s="63"/>
      <c r="BJ53" s="63"/>
      <c r="BK53" s="63"/>
      <c r="BL53" s="63"/>
    </row>
    <row r="54" spans="1:64" s="37" customFormat="1" ht="30" customHeight="1" thickBot="1" x14ac:dyDescent="0.3">
      <c r="A54" s="13"/>
      <c r="B54" s="108" t="s">
        <v>70</v>
      </c>
      <c r="C54" s="109" t="s">
        <v>53</v>
      </c>
      <c r="D54" s="56">
        <v>0</v>
      </c>
      <c r="E54" s="57">
        <v>46054</v>
      </c>
      <c r="F54" s="57">
        <f>E54+2</f>
        <v>46056</v>
      </c>
      <c r="G54" s="17"/>
      <c r="H54" s="5"/>
      <c r="I54" s="119">
        <v>3372</v>
      </c>
      <c r="J54" s="63" t="s">
        <v>150</v>
      </c>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row>
    <row r="55" spans="1:64" s="37" customFormat="1" ht="40.200000000000003" thickBot="1" x14ac:dyDescent="0.3">
      <c r="A55" s="13"/>
      <c r="B55" s="108" t="s">
        <v>113</v>
      </c>
      <c r="C55" s="109" t="s">
        <v>73</v>
      </c>
      <c r="D55" s="56">
        <v>0</v>
      </c>
      <c r="E55" s="57">
        <f>F54</f>
        <v>46056</v>
      </c>
      <c r="F55" s="57">
        <f>E55+3</f>
        <v>46059</v>
      </c>
      <c r="G55" s="17"/>
      <c r="H55" s="5"/>
      <c r="I55" s="119">
        <v>4900</v>
      </c>
      <c r="J55" s="38" t="s">
        <v>149</v>
      </c>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E55" s="63"/>
      <c r="BF55" s="63"/>
      <c r="BG55" s="63"/>
      <c r="BH55" s="63"/>
      <c r="BI55" s="63"/>
      <c r="BJ55" s="63"/>
      <c r="BK55" s="63"/>
      <c r="BL55" s="63"/>
    </row>
    <row r="56" spans="1:64" s="37" customFormat="1" ht="30" customHeight="1" thickBot="1" x14ac:dyDescent="0.3">
      <c r="A56" s="13"/>
      <c r="B56" s="54" t="s">
        <v>47</v>
      </c>
      <c r="C56" s="55" t="s">
        <v>71</v>
      </c>
      <c r="D56" s="56">
        <v>0</v>
      </c>
      <c r="E56" s="57">
        <f>F54+3</f>
        <v>46059</v>
      </c>
      <c r="F56" s="57">
        <f>E56+10</f>
        <v>46069</v>
      </c>
      <c r="G56" s="17"/>
      <c r="H56" s="5"/>
      <c r="I56" s="131">
        <f>'MI&amp;E Calcs'!I41</f>
        <v>4638</v>
      </c>
      <c r="J56" s="114" t="s">
        <v>146</v>
      </c>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63"/>
      <c r="BH56" s="63"/>
      <c r="BI56" s="63"/>
      <c r="BJ56" s="63"/>
      <c r="BK56" s="63"/>
      <c r="BL56" s="63"/>
    </row>
    <row r="57" spans="1:64" s="37" customFormat="1" ht="30" customHeight="1" thickBot="1" x14ac:dyDescent="0.3">
      <c r="A57" s="13"/>
      <c r="B57" s="108" t="s">
        <v>45</v>
      </c>
      <c r="C57" s="55" t="s">
        <v>71</v>
      </c>
      <c r="D57" s="56">
        <v>0</v>
      </c>
      <c r="E57" s="57">
        <f>F56</f>
        <v>46069</v>
      </c>
      <c r="F57" s="57">
        <f>E57+2</f>
        <v>46071</v>
      </c>
      <c r="G57" s="17"/>
      <c r="H57" s="5"/>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row>
    <row r="58" spans="1:64" s="37" customFormat="1" ht="30" customHeight="1" thickBot="1" x14ac:dyDescent="0.3">
      <c r="A58" s="13"/>
      <c r="B58" s="54" t="s">
        <v>48</v>
      </c>
      <c r="C58" s="55" t="s">
        <v>44</v>
      </c>
      <c r="D58" s="56">
        <v>0</v>
      </c>
      <c r="E58" s="57">
        <f>F57</f>
        <v>46071</v>
      </c>
      <c r="F58" s="57">
        <f>E58+10</f>
        <v>46081</v>
      </c>
      <c r="G58" s="17"/>
      <c r="H58" s="5"/>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c r="BB58" s="63"/>
      <c r="BC58" s="63"/>
      <c r="BD58" s="63"/>
      <c r="BE58" s="63"/>
      <c r="BF58" s="63"/>
      <c r="BG58" s="63"/>
      <c r="BH58" s="63"/>
      <c r="BI58" s="63"/>
      <c r="BJ58" s="63"/>
      <c r="BK58" s="63"/>
      <c r="BL58" s="63"/>
    </row>
    <row r="59" spans="1:64" s="37" customFormat="1" ht="30" customHeight="1" thickBot="1" x14ac:dyDescent="0.3">
      <c r="A59" s="13"/>
      <c r="B59" s="48" t="s">
        <v>119</v>
      </c>
      <c r="C59" s="49"/>
      <c r="D59" s="50"/>
      <c r="E59" s="51"/>
      <c r="F59" s="52"/>
      <c r="G59" s="17"/>
      <c r="H59" s="5"/>
      <c r="I59" s="63"/>
      <c r="J59" s="131">
        <f>SUM(I60+I62+I65)</f>
        <v>4592</v>
      </c>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63"/>
      <c r="AP59" s="63"/>
      <c r="AQ59" s="63"/>
      <c r="AR59" s="63"/>
      <c r="AS59" s="63"/>
      <c r="AT59" s="63"/>
      <c r="AU59" s="63"/>
      <c r="AV59" s="63"/>
      <c r="AW59" s="63"/>
      <c r="AX59" s="63"/>
      <c r="AY59" s="63"/>
      <c r="AZ59" s="63"/>
      <c r="BA59" s="63"/>
      <c r="BB59" s="63"/>
      <c r="BC59" s="63"/>
      <c r="BD59" s="63"/>
      <c r="BE59" s="63"/>
      <c r="BF59" s="63"/>
      <c r="BG59" s="63"/>
      <c r="BH59" s="63"/>
      <c r="BI59" s="63"/>
      <c r="BJ59" s="63"/>
      <c r="BK59" s="63"/>
      <c r="BL59" s="63"/>
    </row>
    <row r="60" spans="1:64" s="37" customFormat="1" ht="30" customHeight="1" thickBot="1" x14ac:dyDescent="0.3">
      <c r="A60" s="13"/>
      <c r="B60" s="108" t="s">
        <v>74</v>
      </c>
      <c r="C60" s="109" t="s">
        <v>53</v>
      </c>
      <c r="D60" s="56">
        <v>0</v>
      </c>
      <c r="E60" s="57">
        <v>46082</v>
      </c>
      <c r="F60" s="57">
        <f>E60+2</f>
        <v>46084</v>
      </c>
      <c r="G60" s="17"/>
      <c r="H60" s="5"/>
      <c r="I60" s="119">
        <v>260</v>
      </c>
      <c r="J60" s="63" t="s">
        <v>125</v>
      </c>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3"/>
      <c r="BK60" s="63"/>
      <c r="BL60" s="63"/>
    </row>
    <row r="61" spans="1:64" s="37" customFormat="1" ht="40.200000000000003" thickBot="1" x14ac:dyDescent="0.3">
      <c r="A61" s="13"/>
      <c r="B61" s="108" t="s">
        <v>113</v>
      </c>
      <c r="C61" s="109" t="s">
        <v>75</v>
      </c>
      <c r="D61" s="56">
        <v>0</v>
      </c>
      <c r="E61" s="57">
        <f>F60</f>
        <v>46084</v>
      </c>
      <c r="F61" s="57">
        <f>E61+3</f>
        <v>46087</v>
      </c>
      <c r="G61" s="17"/>
      <c r="H61" s="5"/>
      <c r="I61" s="119">
        <v>4900</v>
      </c>
      <c r="J61" s="38" t="s">
        <v>149</v>
      </c>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3"/>
      <c r="BK61" s="63"/>
      <c r="BL61" s="63"/>
    </row>
    <row r="62" spans="1:64" s="37" customFormat="1" ht="30" customHeight="1" thickBot="1" x14ac:dyDescent="0.3">
      <c r="A62" s="13"/>
      <c r="B62" s="54" t="s">
        <v>60</v>
      </c>
      <c r="C62" s="55" t="s">
        <v>76</v>
      </c>
      <c r="D62" s="56">
        <v>0</v>
      </c>
      <c r="E62" s="57">
        <f>F60+3</f>
        <v>46087</v>
      </c>
      <c r="F62" s="57">
        <f>E62+10</f>
        <v>46097</v>
      </c>
      <c r="G62" s="17"/>
      <c r="H62" s="5"/>
      <c r="I62" s="131">
        <f>'MI&amp;E Calcs'!I36</f>
        <v>3532</v>
      </c>
      <c r="J62" s="114" t="s">
        <v>146</v>
      </c>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63"/>
      <c r="BH62" s="63"/>
      <c r="BI62" s="63"/>
      <c r="BJ62" s="63"/>
      <c r="BK62" s="63"/>
      <c r="BL62" s="63"/>
    </row>
    <row r="63" spans="1:64" s="37" customFormat="1" ht="30" customHeight="1" thickBot="1" x14ac:dyDescent="0.3">
      <c r="A63" s="13"/>
      <c r="B63" s="108" t="s">
        <v>45</v>
      </c>
      <c r="C63" s="55" t="s">
        <v>76</v>
      </c>
      <c r="D63" s="56">
        <v>0</v>
      </c>
      <c r="E63" s="57">
        <f>F62</f>
        <v>46097</v>
      </c>
      <c r="F63" s="57">
        <f>E63+2</f>
        <v>46099</v>
      </c>
      <c r="G63" s="17"/>
      <c r="H63" s="5"/>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63"/>
      <c r="AZ63" s="63"/>
      <c r="BA63" s="63"/>
      <c r="BB63" s="63"/>
      <c r="BC63" s="63"/>
      <c r="BD63" s="63"/>
      <c r="BE63" s="63"/>
      <c r="BF63" s="63"/>
      <c r="BG63" s="63"/>
      <c r="BH63" s="63"/>
      <c r="BI63" s="63"/>
      <c r="BJ63" s="63"/>
      <c r="BK63" s="63"/>
      <c r="BL63" s="63"/>
    </row>
    <row r="64" spans="1:64" s="37" customFormat="1" ht="30" customHeight="1" thickBot="1" x14ac:dyDescent="0.3">
      <c r="A64" s="13"/>
      <c r="B64" s="54" t="s">
        <v>48</v>
      </c>
      <c r="C64" s="55" t="s">
        <v>44</v>
      </c>
      <c r="D64" s="56">
        <v>0</v>
      </c>
      <c r="E64" s="57">
        <f>F63</f>
        <v>46099</v>
      </c>
      <c r="F64" s="57">
        <f>E64+10</f>
        <v>46109</v>
      </c>
      <c r="G64" s="17"/>
      <c r="H64" s="5"/>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row>
    <row r="65" spans="1:64" s="37" customFormat="1" ht="30" customHeight="1" thickBot="1" x14ac:dyDescent="0.3">
      <c r="A65" s="13"/>
      <c r="B65" s="104" t="s">
        <v>78</v>
      </c>
      <c r="C65" s="105" t="s">
        <v>53</v>
      </c>
      <c r="D65" s="106"/>
      <c r="E65" s="107">
        <v>46101</v>
      </c>
      <c r="F65" s="107"/>
      <c r="G65" s="17"/>
      <c r="H65" s="5"/>
      <c r="I65" s="115">
        <v>800</v>
      </c>
      <c r="J65" s="38" t="s">
        <v>90</v>
      </c>
      <c r="K65" s="38"/>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63"/>
      <c r="BH65" s="63"/>
      <c r="BI65" s="63"/>
      <c r="BJ65" s="63"/>
      <c r="BK65" s="63"/>
      <c r="BL65" s="63"/>
    </row>
    <row r="66" spans="1:64" s="37" customFormat="1" ht="30" customHeight="1" thickBot="1" x14ac:dyDescent="0.3">
      <c r="A66" s="13"/>
      <c r="B66" s="58" t="s">
        <v>24</v>
      </c>
      <c r="C66" s="59"/>
      <c r="D66" s="60"/>
      <c r="E66" s="61"/>
      <c r="F66" s="62"/>
      <c r="G66" s="17"/>
      <c r="H66" s="5" t="str">
        <f t="shared" si="4"/>
        <v/>
      </c>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63"/>
      <c r="BH66" s="63"/>
      <c r="BI66" s="63"/>
      <c r="BJ66" s="63"/>
      <c r="BK66" s="63"/>
      <c r="BL66" s="63"/>
    </row>
    <row r="67" spans="1:64" s="37" customFormat="1" ht="30" customHeight="1" thickBot="1" x14ac:dyDescent="0.3">
      <c r="A67" s="13"/>
      <c r="B67" s="64" t="s">
        <v>77</v>
      </c>
      <c r="C67" s="65" t="s">
        <v>72</v>
      </c>
      <c r="D67" s="66">
        <v>0</v>
      </c>
      <c r="E67" s="67">
        <v>46113</v>
      </c>
      <c r="F67" s="67">
        <v>46143</v>
      </c>
      <c r="G67" s="17"/>
      <c r="H67" s="5">
        <f t="shared" si="4"/>
        <v>31</v>
      </c>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8"/>
      <c r="BH67" s="38"/>
      <c r="BI67" s="38"/>
      <c r="BJ67" s="38"/>
      <c r="BK67" s="38"/>
      <c r="BL67" s="38"/>
    </row>
    <row r="68" spans="1:64" s="37" customFormat="1" ht="40.200000000000003" thickBot="1" x14ac:dyDescent="0.3">
      <c r="A68" s="13"/>
      <c r="B68" s="112" t="s">
        <v>79</v>
      </c>
      <c r="C68" s="65" t="s">
        <v>43</v>
      </c>
      <c r="D68" s="66">
        <v>0</v>
      </c>
      <c r="E68" s="67">
        <v>46113</v>
      </c>
      <c r="F68" s="67">
        <v>46478</v>
      </c>
      <c r="G68" s="17"/>
      <c r="H68" s="5">
        <f t="shared" si="4"/>
        <v>366</v>
      </c>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c r="BH68" s="38"/>
      <c r="BI68" s="38"/>
      <c r="BJ68" s="38"/>
      <c r="BK68" s="38"/>
      <c r="BL68" s="38"/>
    </row>
    <row r="69" spans="1:64" s="37" customFormat="1" ht="14.4" thickBot="1" x14ac:dyDescent="0.3">
      <c r="A69" s="13"/>
      <c r="B69" s="112" t="s">
        <v>80</v>
      </c>
      <c r="C69" s="65" t="s">
        <v>53</v>
      </c>
      <c r="D69" s="66">
        <v>0</v>
      </c>
      <c r="E69" s="67">
        <v>46388</v>
      </c>
      <c r="F69" s="67">
        <v>46507</v>
      </c>
      <c r="G69" s="17"/>
      <c r="H69" s="5"/>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row>
    <row r="70" spans="1:64" s="37" customFormat="1" ht="30" customHeight="1" thickBot="1" x14ac:dyDescent="0.3">
      <c r="A70" s="13"/>
      <c r="B70" s="64" t="s">
        <v>81</v>
      </c>
      <c r="C70" s="65" t="s">
        <v>72</v>
      </c>
      <c r="D70" s="66">
        <v>0</v>
      </c>
      <c r="E70" s="67">
        <f>F68+30</f>
        <v>46508</v>
      </c>
      <c r="F70" s="67">
        <f>E70+3</f>
        <v>46511</v>
      </c>
      <c r="G70" s="17"/>
      <c r="H70" s="5">
        <f t="shared" si="4"/>
        <v>4</v>
      </c>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8"/>
      <c r="BH70" s="38"/>
      <c r="BI70" s="38"/>
      <c r="BJ70" s="38"/>
      <c r="BK70" s="38"/>
      <c r="BL70" s="38"/>
    </row>
    <row r="71" spans="1:64" s="37" customFormat="1" ht="30" customHeight="1" thickBot="1" x14ac:dyDescent="0.3">
      <c r="A71" s="13"/>
      <c r="B71" s="68"/>
      <c r="C71" s="69"/>
      <c r="D71" s="70"/>
      <c r="E71" s="71"/>
      <c r="F71" s="71"/>
      <c r="G71" s="17"/>
      <c r="H71" s="5" t="str">
        <f t="shared" si="4"/>
        <v/>
      </c>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row>
    <row r="72" spans="1:64" s="37" customFormat="1" ht="30" customHeight="1" thickBot="1" x14ac:dyDescent="0.3">
      <c r="A72" s="14"/>
      <c r="B72" s="72" t="s">
        <v>0</v>
      </c>
      <c r="C72" s="73"/>
      <c r="D72" s="74"/>
      <c r="E72" s="75"/>
      <c r="F72" s="76"/>
      <c r="G72" s="17"/>
      <c r="H72" s="6" t="str">
        <f t="shared" si="4"/>
        <v/>
      </c>
      <c r="I72" s="77"/>
      <c r="J72" s="77"/>
      <c r="K72" s="77"/>
      <c r="L72" s="77"/>
      <c r="M72" s="77"/>
      <c r="N72" s="77"/>
      <c r="O72" s="77"/>
      <c r="P72" s="77"/>
      <c r="Q72" s="77"/>
      <c r="R72" s="7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row>
    <row r="73" spans="1:64" ht="30" customHeight="1" x14ac:dyDescent="0.25">
      <c r="G73" s="3"/>
    </row>
    <row r="74" spans="1:64" ht="30" customHeight="1" x14ac:dyDescent="0.25">
      <c r="C74" s="16"/>
      <c r="F74" s="15"/>
    </row>
    <row r="75" spans="1:64" ht="30" customHeight="1" x14ac:dyDescent="0.25">
      <c r="C75" s="4"/>
    </row>
  </sheetData>
  <mergeCells count="19">
    <mergeCell ref="B1:F1"/>
    <mergeCell ref="I1:O1"/>
    <mergeCell ref="Q1:Z1"/>
    <mergeCell ref="I2:O2"/>
    <mergeCell ref="Q2:Z2"/>
    <mergeCell ref="BF4:BL4"/>
    <mergeCell ref="A5:A6"/>
    <mergeCell ref="B5:B6"/>
    <mergeCell ref="C5:C6"/>
    <mergeCell ref="D5:D6"/>
    <mergeCell ref="E5:E6"/>
    <mergeCell ref="I4:O4"/>
    <mergeCell ref="P4:V4"/>
    <mergeCell ref="W4:AC4"/>
    <mergeCell ref="F5:F6"/>
    <mergeCell ref="AD4:AJ4"/>
    <mergeCell ref="AK4:AQ4"/>
    <mergeCell ref="AR4:AX4"/>
    <mergeCell ref="AY4:BE4"/>
  </mergeCells>
  <conditionalFormatting sqref="C9 B9:B10">
    <cfRule type="expression" dxfId="36" priority="15">
      <formula>AND(TODAY()&gt;=J$5, TODAY()&lt;K$5)</formula>
    </cfRule>
    <cfRule type="expression" dxfId="35" priority="16">
      <formula>AND(task_start&lt;=J$5,ROUNDDOWN((task_end-task_start+1)*task_progress,0)+task_start-1&gt;=J$5)</formula>
    </cfRule>
    <cfRule type="expression" dxfId="34" priority="17" stopIfTrue="1">
      <formula>AND(task_end&gt;=J$5,task_start&lt;K$5)</formula>
    </cfRule>
  </conditionalFormatting>
  <conditionalFormatting sqref="C10">
    <cfRule type="expression" dxfId="33" priority="18">
      <formula>AND(TODAY()&gt;=M$5, TODAY()&lt;N$5)</formula>
    </cfRule>
    <cfRule type="expression" dxfId="32" priority="19">
      <formula>AND(task_start&lt;=M$5,ROUNDDOWN((task_end-task_start+1)*task_progress,0)+task_start-1&gt;=M$5)</formula>
    </cfRule>
    <cfRule type="expression" dxfId="31" priority="20" stopIfTrue="1">
      <formula>AND(task_end&gt;=M$5,task_start&lt;N$5)</formula>
    </cfRule>
  </conditionalFormatting>
  <conditionalFormatting sqref="D7:D72">
    <cfRule type="dataBar" priority="12">
      <dataBar>
        <cfvo type="num" val="0"/>
        <cfvo type="num" val="1"/>
        <color theme="0"/>
      </dataBar>
      <extLst>
        <ext xmlns:x14="http://schemas.microsoft.com/office/spreadsheetml/2009/9/main" uri="{B025F937-C7B1-47D3-B67F-A62EFF666E3E}">
          <x14:id>{ACBB7C06-3E3D-4FEC-B19E-2345A996509C}</x14:id>
        </ext>
      </extLst>
    </cfRule>
  </conditionalFormatting>
  <conditionalFormatting sqref="H32 J46">
    <cfRule type="expression" dxfId="30" priority="59">
      <formula>AND(TODAY()&gt;=I$5, TODAY()&lt;J$5)</formula>
    </cfRule>
    <cfRule type="expression" dxfId="29" priority="62">
      <formula>AND(task_start&lt;=I$5,ROUNDDOWN((task_end-task_start+1)*task_progress,0)+task_start-1&gt;=I$5)</formula>
    </cfRule>
    <cfRule type="expression" dxfId="28" priority="63" stopIfTrue="1">
      <formula>AND(task_end&gt;=I$5,task_start&lt;J$5)</formula>
    </cfRule>
  </conditionalFormatting>
  <conditionalFormatting sqref="I8 J9:BL9 K10:BL10 N11:BL11 I12:BL15">
    <cfRule type="expression" dxfId="27" priority="11" stopIfTrue="1">
      <formula>AND(task_end&gt;=I$5,task_start&lt;J$5)</formula>
    </cfRule>
  </conditionalFormatting>
  <conditionalFormatting sqref="I30:K30">
    <cfRule type="expression" dxfId="26" priority="3">
      <formula>AND(task_start&lt;=I$5,ROUNDDOWN((task_end-task_start+1)*task_progress,0)+task_start-1&gt;=I$5)</formula>
    </cfRule>
    <cfRule type="expression" dxfId="25" priority="4" stopIfTrue="1">
      <formula>AND(task_end&gt;=I$5,task_start&lt;J$5)</formula>
    </cfRule>
  </conditionalFormatting>
  <conditionalFormatting sqref="I12:BL15 I8 J9:BL9 K10:BL10 N11:BL11">
    <cfRule type="expression" dxfId="24" priority="10">
      <formula>AND(task_start&lt;=I$5,ROUNDDOWN((task_end-task_start+1)*task_progress,0)+task_start-1&gt;=I$5)</formula>
    </cfRule>
  </conditionalFormatting>
  <conditionalFormatting sqref="I12:BL31 I4:BL8 J9:BL9 K10:BL10 N11:BL11 J32:BL32 I33:BL38 L39:BL39 I40:BL43 J44:BL44 I45:BL45 I46 L46:BL46 I47:BL70">
    <cfRule type="expression" dxfId="23" priority="5">
      <formula>AND(TODAY()&gt;=I$5, TODAY()&lt;J$5)</formula>
    </cfRule>
  </conditionalFormatting>
  <conditionalFormatting sqref="I17:BL20">
    <cfRule type="expression" dxfId="22" priority="8">
      <formula>AND(task_start&lt;=I$5,ROUNDDOWN((task_end-task_start+1)*task_progress,0)+task_start-1&gt;=I$5)</formula>
    </cfRule>
    <cfRule type="expression" dxfId="21" priority="9" stopIfTrue="1">
      <formula>AND(task_end&gt;=I$5,task_start&lt;J$5)</formula>
    </cfRule>
  </conditionalFormatting>
  <conditionalFormatting sqref="I22:BL31 J32:BL32 I33:BL38 L39:BL39 I40:BL43 J44:BL44 I45:BL45 I46 L46:BL46 I47:BL65">
    <cfRule type="expression" dxfId="20" priority="6">
      <formula>AND(task_start&lt;=I$5,ROUNDDOWN((task_end-task_start+1)*task_progress,0)+task_start-1&gt;=I$5)</formula>
    </cfRule>
    <cfRule type="expression" dxfId="19" priority="7" stopIfTrue="1">
      <formula>AND(task_end&gt;=I$5,task_start&lt;J$5)</formula>
    </cfRule>
  </conditionalFormatting>
  <conditionalFormatting sqref="I67:BL70">
    <cfRule type="expression" dxfId="18" priority="13">
      <formula>AND(task_start&lt;=I$5,ROUNDDOWN((task_end-task_start+1)*task_progress,0)+task_start-1&gt;=I$5)</formula>
    </cfRule>
    <cfRule type="expression" dxfId="17" priority="14" stopIfTrue="1">
      <formula>AND(task_end&gt;=I$5,task_start&lt;J$5)</formula>
    </cfRule>
  </conditionalFormatting>
  <conditionalFormatting sqref="J10:J11">
    <cfRule type="expression" dxfId="16" priority="55">
      <formula>AND(TODAY()&gt;=I$5, TODAY()&lt;J$5)</formula>
    </cfRule>
    <cfRule type="expression" dxfId="15" priority="56">
      <formula>AND(task_start&lt;=I$5,ROUNDDOWN((task_end-task_start+1)*task_progress,0)+task_start-1&gt;=I$5)</formula>
    </cfRule>
    <cfRule type="expression" dxfId="14" priority="57" stopIfTrue="1">
      <formula>AND(task_end&gt;=I$5,task_start&lt;J$5)</formula>
    </cfRule>
  </conditionalFormatting>
  <conditionalFormatting sqref="J13">
    <cfRule type="expression" dxfId="13" priority="1">
      <formula>AND(task_start&lt;=J$5,ROUNDDOWN((task_end-task_start+1)*task_progress,0)+task_start-1&gt;=J$5)</formula>
    </cfRule>
    <cfRule type="expression" dxfId="12" priority="2" stopIfTrue="1">
      <formula>AND(task_end&gt;=J$5,task_start&lt;K$5)</formula>
    </cfRule>
  </conditionalFormatting>
  <dataValidations count="13">
    <dataValidation allowBlank="1" showInputMessage="1" showErrorMessage="1" prompt="This row marks the end of the Project Schedule. DO NOT enter anything in this row. _x000a_Insert new rows ABOVE this one to continue building out your Project Schedule." sqref="A72" xr:uid="{204D7411-1BFE-4E35-8175-00FD065CDF7A}"/>
    <dataValidation allowBlank="1" showInputMessage="1" showErrorMessage="1" prompt="Phase 4's sample block starts in cell B26." sqref="A66" xr:uid="{CE1721A6-1392-4D65-BC54-85CF7F6D3A85}"/>
    <dataValidation allowBlank="1" showInputMessage="1" showErrorMessage="1" prompt="Phase 3's sample block starts in cell B20." sqref="A21" xr:uid="{7912873F-66A5-4E98-9EDB-D2E1C0D71E8F}"/>
    <dataValidation allowBlank="1" showInputMessage="1" showErrorMessage="1" prompt="Cell B14 contains the Phase 2 sample title. Enter a new title in cell B14._x000a_To delete the phase and work only from tasks, simply delete this row. To remove the phase, simply delete the row. Add tasks to previous phase by entering a new row above this one._x000a_" sqref="A16" xr:uid="{E7EC7E9D-C3E7-4E3F-AA43-331DF679A80E}"/>
    <dataValidation allowBlank="1" showInputMessage="1" showErrorMessage="1" prompt="Rows 10 through 13 repeat the pattern from row 9. _x000a__x000a_Repeat the instructions from cell A9 for all task rows in this worksheet. _x000a__x000a_Continue entering tasks in cells A10 through A13 or go to cell A14 to learn more." sqref="A10" xr:uid="{CF0691F5-E411-4584-A9A7-FCDC2019EF1F}"/>
    <dataValidation allowBlank="1" showInputMessage="1" showErrorMessage="1" prompt="B9 contains the task name.  C9 is the assignee.  D9 is a progress bar that shades based on the number entered into the cell.  _x000a__x000a_E9 contains the start date and F9 contains the end date._x000a__x000a_The Gantt chart will fill in starting in cell I9 based on task dates." sqref="A9" xr:uid="{2E050DD3-8B7D-4B7A-A93F-AF634A7A94D3}"/>
    <dataValidation allowBlank="1" showInputMessage="1" showErrorMessage="1" prompt="Cell B8 contains the Phase 1 sample title. Enter a new title in cell B8._x000a_To delete the phase and work only from tasks, simply delete this row." sqref="A8" xr:uid="{B6969B36-A36E-49FC-9698-A9CE6577C214}"/>
    <dataValidation allowBlank="1" showInputMessage="1" showErrorMessage="1" prompt="Cells I5 through BL5 contain the day number for the week represented in the cell block above each date and are auto calculated._x000a__x000a_Today's date is outlined from today's date in row 5 through the entire date column to the end of the project schedule." sqref="A5:A6" xr:uid="{A8562ED8-0947-4296-859B-BAADDEE88501}"/>
    <dataValidation allowBlank="1" showInputMessage="1" showErrorMessage="1" prompt="The Display week in cell Q2 is the starting week to display in the project schedule in cell I4. The project start date is Week 1. To change the display week, enter a new week number in cell Q2._x000a__x000a_Start date for each week is auto calculated starting in I4." sqref="A4" xr:uid="{E82B3180-8C6B-49B1-A75D-3D8C9F59A879}"/>
    <dataValidation allowBlank="1" showInputMessage="1" showErrorMessage="1" prompt="Enter the name of the Project Lead in cell C3. Enter the Project Start date in cell Q1. Project Start: label is in cell I1." sqref="A3" xr:uid="{7AEEFF38-7DF3-4A95-81FB-8D2F2AD06D3C}"/>
    <dataValidation allowBlank="1" showInputMessage="1" showErrorMessage="1" prompt="Enter Company name in cel B2." sqref="A2" xr:uid="{D53BC923-6F94-4594-84DB-6566F7D757B5}"/>
    <dataValidation allowBlank="1" showInputMessage="1" showErrorMessage="1" prompt="Create a Project Schedule in this worksheet._x000a_Enter title of this project in cell B1. _x000a_Information on how to use this worksheet, including instructions for screen readers and the author of this workbook, is in the About worksheet._x000a_" sqref="A1" xr:uid="{7343DEB5-3DB9-4B2B-8125-96B7CFFA8456}"/>
    <dataValidation type="whole" operator="greaterThanOrEqual" allowBlank="1" showInputMessage="1" promptTitle="Display Week" prompt="Changing this number will scroll the Gantt Chart view." sqref="Q2" xr:uid="{661F307B-5BBF-4488-90C7-714F4A30D007}">
      <formula1>1</formula1>
    </dataValidation>
  </dataValidations>
  <hyperlinks>
    <hyperlink ref="B4" r:id="rId1" xr:uid="{3F72D42A-B8F1-41CC-BD9E-95A4AC77C159}"/>
    <hyperlink ref="B3" r:id="rId2" xr:uid="{F6D52F82-A40F-48A0-83B4-97A947B3EB2C}"/>
  </hyperlinks>
  <printOptions horizontalCentered="1"/>
  <pageMargins left="0.35" right="0.35" top="0.35" bottom="0.5" header="0.3" footer="0.3"/>
  <pageSetup scale="49" fitToHeight="0" orientation="landscape" r:id="rId3"/>
  <headerFooter differentFirst="1" scaleWithDoc="0">
    <oddFooter>Page &amp;P of &amp;N</oddFooter>
  </headerFooter>
  <extLst>
    <ext xmlns:x14="http://schemas.microsoft.com/office/spreadsheetml/2009/9/main" uri="{78C0D931-6437-407d-A8EE-F0AAD7539E65}">
      <x14:conditionalFormattings>
        <x14:conditionalFormatting xmlns:xm="http://schemas.microsoft.com/office/excel/2006/main">
          <x14:cfRule type="dataBar" id="{ACBB7C06-3E3D-4FEC-B19E-2345A996509C}">
            <x14:dataBar minLength="0" maxLength="100" gradient="0">
              <x14:cfvo type="num">
                <xm:f>0</xm:f>
              </x14:cfvo>
              <x14:cfvo type="num">
                <xm:f>1</xm:f>
              </x14:cfvo>
              <x14:negativeFillColor rgb="FFFF0000"/>
              <x14:axisColor rgb="FF000000"/>
            </x14:dataBar>
          </x14:cfRule>
          <xm:sqref>D7:D72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C164F-91CC-43EF-A3A4-CE6121C087A6}">
  <dimension ref="A1:D78"/>
  <sheetViews>
    <sheetView tabSelected="1" zoomScale="130" zoomScaleNormal="130" workbookViewId="0">
      <selection sqref="A1:D1"/>
    </sheetView>
  </sheetViews>
  <sheetFormatPr defaultRowHeight="13.8" x14ac:dyDescent="0.25"/>
  <cols>
    <col min="1" max="1" width="30.3984375" style="130" customWidth="1"/>
    <col min="2" max="2" width="18.296875" style="130" customWidth="1"/>
    <col min="3" max="3" width="33.8984375" style="130" customWidth="1"/>
    <col min="4" max="4" width="11.09765625" style="130" customWidth="1"/>
    <col min="5" max="16384" width="8.796875" style="127"/>
  </cols>
  <sheetData>
    <row r="1" spans="1:4" x14ac:dyDescent="0.25">
      <c r="A1" s="173" t="s">
        <v>214</v>
      </c>
      <c r="B1" s="174"/>
      <c r="C1" s="174"/>
      <c r="D1" s="175"/>
    </row>
    <row r="2" spans="1:4" x14ac:dyDescent="0.25">
      <c r="A2" s="137" t="s">
        <v>5</v>
      </c>
      <c r="B2" s="137" t="s">
        <v>23</v>
      </c>
    </row>
    <row r="3" spans="1:4" x14ac:dyDescent="0.25">
      <c r="A3" s="138"/>
      <c r="B3" s="138"/>
    </row>
    <row r="4" spans="1:4" x14ac:dyDescent="0.25">
      <c r="A4" s="136"/>
      <c r="B4" s="136"/>
    </row>
    <row r="5" spans="1:4" ht="15.6" x14ac:dyDescent="0.3">
      <c r="A5" s="147" t="s">
        <v>82</v>
      </c>
      <c r="B5" s="139"/>
      <c r="C5" s="148" t="s">
        <v>152</v>
      </c>
      <c r="D5" s="130" t="s">
        <v>154</v>
      </c>
    </row>
    <row r="6" spans="1:4" x14ac:dyDescent="0.25">
      <c r="A6" s="146" t="s">
        <v>28</v>
      </c>
      <c r="B6" s="140" t="s">
        <v>25</v>
      </c>
      <c r="C6" s="130" t="s">
        <v>153</v>
      </c>
      <c r="D6" s="130" t="s">
        <v>155</v>
      </c>
    </row>
    <row r="7" spans="1:4" ht="52.8" x14ac:dyDescent="0.25">
      <c r="A7" s="146" t="s">
        <v>83</v>
      </c>
      <c r="B7" s="140" t="s">
        <v>33</v>
      </c>
      <c r="C7" s="130" t="s">
        <v>156</v>
      </c>
      <c r="D7" s="130" t="s">
        <v>155</v>
      </c>
    </row>
    <row r="8" spans="1:4" x14ac:dyDescent="0.25">
      <c r="A8" s="146" t="s">
        <v>29</v>
      </c>
      <c r="B8" s="140" t="s">
        <v>25</v>
      </c>
      <c r="C8" s="149">
        <v>45809</v>
      </c>
      <c r="D8" s="130" t="s">
        <v>155</v>
      </c>
    </row>
    <row r="9" spans="1:4" x14ac:dyDescent="0.25">
      <c r="A9" s="146" t="s">
        <v>38</v>
      </c>
      <c r="B9" s="140" t="s">
        <v>25</v>
      </c>
      <c r="C9" s="149">
        <v>45809</v>
      </c>
      <c r="D9" s="130" t="s">
        <v>155</v>
      </c>
    </row>
    <row r="10" spans="1:4" x14ac:dyDescent="0.25">
      <c r="A10" s="146" t="s">
        <v>31</v>
      </c>
      <c r="B10" s="140" t="s">
        <v>25</v>
      </c>
      <c r="C10" s="130" t="s">
        <v>157</v>
      </c>
    </row>
    <row r="11" spans="1:4" x14ac:dyDescent="0.25">
      <c r="A11" s="146" t="s">
        <v>32</v>
      </c>
      <c r="B11" s="140" t="s">
        <v>33</v>
      </c>
    </row>
    <row r="12" spans="1:4" ht="41.4" x14ac:dyDescent="0.25">
      <c r="A12" s="146" t="s">
        <v>37</v>
      </c>
      <c r="B12" s="140" t="s">
        <v>53</v>
      </c>
      <c r="C12" s="130" t="s">
        <v>158</v>
      </c>
      <c r="D12" s="130" t="s">
        <v>155</v>
      </c>
    </row>
    <row r="13" spans="1:4" ht="15.6" x14ac:dyDescent="0.3">
      <c r="A13" s="150" t="s">
        <v>34</v>
      </c>
      <c r="B13" s="141"/>
    </row>
    <row r="14" spans="1:4" ht="96.6" x14ac:dyDescent="0.25">
      <c r="A14" s="151" t="s">
        <v>39</v>
      </c>
      <c r="B14" s="142" t="s">
        <v>35</v>
      </c>
      <c r="C14" s="130" t="s">
        <v>161</v>
      </c>
      <c r="D14" s="130" t="s">
        <v>155</v>
      </c>
    </row>
    <row r="15" spans="1:4" ht="110.4" x14ac:dyDescent="0.25">
      <c r="A15" s="151" t="s">
        <v>36</v>
      </c>
      <c r="B15" s="142" t="s">
        <v>25</v>
      </c>
      <c r="C15" s="130" t="s">
        <v>159</v>
      </c>
      <c r="D15" s="130" t="s">
        <v>155</v>
      </c>
    </row>
    <row r="16" spans="1:4" ht="207" x14ac:dyDescent="0.25">
      <c r="A16" s="151" t="s">
        <v>160</v>
      </c>
      <c r="B16" s="142" t="s">
        <v>35</v>
      </c>
      <c r="C16" s="130" t="s">
        <v>203</v>
      </c>
      <c r="D16" s="130" t="s">
        <v>155</v>
      </c>
    </row>
    <row r="17" spans="1:4" ht="132" x14ac:dyDescent="0.25">
      <c r="A17" s="151" t="s">
        <v>41</v>
      </c>
      <c r="B17" s="142" t="s">
        <v>164</v>
      </c>
      <c r="C17" s="130" t="s">
        <v>162</v>
      </c>
    </row>
    <row r="18" spans="1:4" ht="15.6" x14ac:dyDescent="0.3">
      <c r="A18" s="152" t="s">
        <v>166</v>
      </c>
      <c r="B18" s="143"/>
    </row>
    <row r="19" spans="1:4" ht="31.2" x14ac:dyDescent="0.3">
      <c r="A19" s="152" t="s">
        <v>204</v>
      </c>
      <c r="B19" s="143"/>
      <c r="D19" s="130" t="s">
        <v>155</v>
      </c>
    </row>
    <row r="20" spans="1:4" x14ac:dyDescent="0.25">
      <c r="A20" s="153" t="s">
        <v>51</v>
      </c>
      <c r="B20" s="144" t="s">
        <v>43</v>
      </c>
      <c r="D20" s="130" t="s">
        <v>155</v>
      </c>
    </row>
    <row r="21" spans="1:4" ht="69" x14ac:dyDescent="0.25">
      <c r="A21" s="153" t="s">
        <v>85</v>
      </c>
      <c r="B21" s="144" t="s">
        <v>163</v>
      </c>
      <c r="C21" s="130" t="s">
        <v>202</v>
      </c>
      <c r="D21" s="130" t="s">
        <v>155</v>
      </c>
    </row>
    <row r="22" spans="1:4" x14ac:dyDescent="0.25">
      <c r="A22" s="153" t="s">
        <v>181</v>
      </c>
      <c r="B22" s="144" t="s">
        <v>165</v>
      </c>
      <c r="D22" s="130" t="s">
        <v>155</v>
      </c>
    </row>
    <row r="23" spans="1:4" ht="41.4" x14ac:dyDescent="0.25">
      <c r="A23" s="153" t="s">
        <v>45</v>
      </c>
      <c r="B23" s="144" t="s">
        <v>43</v>
      </c>
      <c r="C23" s="130" t="s">
        <v>212</v>
      </c>
      <c r="D23" s="130" t="s">
        <v>155</v>
      </c>
    </row>
    <row r="24" spans="1:4" ht="96.6" x14ac:dyDescent="0.25">
      <c r="A24" s="153" t="s">
        <v>36</v>
      </c>
      <c r="B24" s="144" t="s">
        <v>116</v>
      </c>
      <c r="C24" s="130" t="s">
        <v>205</v>
      </c>
      <c r="D24" s="130" t="s">
        <v>155</v>
      </c>
    </row>
    <row r="25" spans="1:4" ht="96.6" x14ac:dyDescent="0.25">
      <c r="A25" s="153" t="s">
        <v>46</v>
      </c>
      <c r="B25" s="144" t="s">
        <v>44</v>
      </c>
      <c r="C25" s="130" t="s">
        <v>207</v>
      </c>
      <c r="D25" s="130" t="s">
        <v>208</v>
      </c>
    </row>
    <row r="26" spans="1:4" ht="145.19999999999999" x14ac:dyDescent="0.25">
      <c r="A26" s="153" t="s">
        <v>65</v>
      </c>
      <c r="B26" s="144" t="s">
        <v>206</v>
      </c>
      <c r="C26" s="130" t="s">
        <v>162</v>
      </c>
      <c r="D26" s="130" t="s">
        <v>155</v>
      </c>
    </row>
    <row r="27" spans="1:4" ht="15.6" x14ac:dyDescent="0.3">
      <c r="A27" s="152" t="s">
        <v>166</v>
      </c>
      <c r="B27" s="143"/>
    </row>
    <row r="28" spans="1:4" ht="31.2" x14ac:dyDescent="0.3">
      <c r="A28" s="152" t="s">
        <v>167</v>
      </c>
      <c r="B28" s="143"/>
      <c r="D28" s="130" t="s">
        <v>155</v>
      </c>
    </row>
    <row r="29" spans="1:4" x14ac:dyDescent="0.25">
      <c r="A29" s="153" t="s">
        <v>55</v>
      </c>
      <c r="B29" s="144" t="s">
        <v>53</v>
      </c>
      <c r="D29" s="130" t="s">
        <v>155</v>
      </c>
    </row>
    <row r="30" spans="1:4" ht="110.4" x14ac:dyDescent="0.25">
      <c r="A30" s="153" t="s">
        <v>85</v>
      </c>
      <c r="B30" s="144" t="s">
        <v>168</v>
      </c>
      <c r="C30" s="130" t="s">
        <v>201</v>
      </c>
      <c r="D30" s="130" t="s">
        <v>155</v>
      </c>
    </row>
    <row r="31" spans="1:4" ht="55.2" x14ac:dyDescent="0.25">
      <c r="A31" s="153" t="s">
        <v>180</v>
      </c>
      <c r="B31" s="144" t="s">
        <v>116</v>
      </c>
      <c r="C31" s="130" t="s">
        <v>209</v>
      </c>
      <c r="D31" s="130" t="s">
        <v>155</v>
      </c>
    </row>
    <row r="32" spans="1:4" ht="39.6" x14ac:dyDescent="0.25">
      <c r="A32" s="153" t="s">
        <v>45</v>
      </c>
      <c r="B32" s="144" t="s">
        <v>43</v>
      </c>
      <c r="D32" s="130" t="s">
        <v>155</v>
      </c>
    </row>
    <row r="33" spans="1:4" ht="96.6" x14ac:dyDescent="0.25">
      <c r="A33" s="153" t="s">
        <v>48</v>
      </c>
      <c r="B33" s="144" t="s">
        <v>44</v>
      </c>
      <c r="C33" s="130" t="s">
        <v>207</v>
      </c>
      <c r="D33" s="130" t="s">
        <v>208</v>
      </c>
    </row>
    <row r="34" spans="1:4" ht="15.6" x14ac:dyDescent="0.3">
      <c r="A34" s="152" t="s">
        <v>166</v>
      </c>
      <c r="B34" s="143"/>
    </row>
    <row r="35" spans="1:4" ht="31.2" x14ac:dyDescent="0.3">
      <c r="A35" s="152" t="s">
        <v>175</v>
      </c>
      <c r="B35" s="143"/>
    </row>
    <row r="36" spans="1:4" ht="110.4" x14ac:dyDescent="0.25">
      <c r="A36" s="153" t="s">
        <v>85</v>
      </c>
      <c r="B36" s="144" t="s">
        <v>57</v>
      </c>
      <c r="C36" s="130" t="s">
        <v>201</v>
      </c>
      <c r="D36" s="130" t="s">
        <v>155</v>
      </c>
    </row>
    <row r="37" spans="1:4" ht="55.2" x14ac:dyDescent="0.25">
      <c r="A37" s="153" t="s">
        <v>60</v>
      </c>
      <c r="B37" s="144" t="s">
        <v>116</v>
      </c>
      <c r="C37" s="130" t="s">
        <v>209</v>
      </c>
      <c r="D37" s="130" t="s">
        <v>155</v>
      </c>
    </row>
    <row r="38" spans="1:4" ht="39.6" x14ac:dyDescent="0.25">
      <c r="A38" s="153" t="s">
        <v>45</v>
      </c>
      <c r="B38" s="144" t="s">
        <v>43</v>
      </c>
      <c r="D38" s="130" t="s">
        <v>155</v>
      </c>
    </row>
    <row r="39" spans="1:4" ht="96.6" x14ac:dyDescent="0.25">
      <c r="A39" s="153" t="s">
        <v>68</v>
      </c>
      <c r="B39" s="144" t="s">
        <v>44</v>
      </c>
      <c r="C39" s="130" t="s">
        <v>207</v>
      </c>
      <c r="D39" s="130" t="s">
        <v>208</v>
      </c>
    </row>
    <row r="40" spans="1:4" ht="26.4" x14ac:dyDescent="0.25">
      <c r="A40" s="153" t="s">
        <v>49</v>
      </c>
      <c r="B40" s="144" t="s">
        <v>169</v>
      </c>
      <c r="D40" s="130" t="s">
        <v>155</v>
      </c>
    </row>
    <row r="41" spans="1:4" ht="15.6" x14ac:dyDescent="0.3">
      <c r="A41" s="152" t="s">
        <v>170</v>
      </c>
      <c r="B41" s="143"/>
    </row>
    <row r="42" spans="1:4" ht="31.2" x14ac:dyDescent="0.3">
      <c r="A42" s="152" t="s">
        <v>174</v>
      </c>
      <c r="B42" s="143"/>
    </row>
    <row r="43" spans="1:4" ht="15.6" x14ac:dyDescent="0.3">
      <c r="A43" s="152" t="s">
        <v>176</v>
      </c>
      <c r="B43" s="143"/>
      <c r="D43" s="130" t="s">
        <v>155</v>
      </c>
    </row>
    <row r="44" spans="1:4" ht="82.8" x14ac:dyDescent="0.25">
      <c r="A44" s="153" t="s">
        <v>113</v>
      </c>
      <c r="B44" s="144" t="s">
        <v>53</v>
      </c>
      <c r="C44" s="130" t="s">
        <v>200</v>
      </c>
      <c r="D44" s="130" t="s">
        <v>155</v>
      </c>
    </row>
    <row r="45" spans="1:4" ht="41.4" x14ac:dyDescent="0.25">
      <c r="A45" s="153" t="s">
        <v>183</v>
      </c>
      <c r="B45" s="144" t="s">
        <v>171</v>
      </c>
      <c r="C45" s="130" t="s">
        <v>211</v>
      </c>
      <c r="D45" s="130" t="s">
        <v>155</v>
      </c>
    </row>
    <row r="46" spans="1:4" ht="39.6" x14ac:dyDescent="0.25">
      <c r="A46" s="153" t="s">
        <v>45</v>
      </c>
      <c r="B46" s="144" t="s">
        <v>53</v>
      </c>
      <c r="D46" s="130" t="s">
        <v>155</v>
      </c>
    </row>
    <row r="47" spans="1:4" ht="96.6" x14ac:dyDescent="0.25">
      <c r="A47" s="153" t="s">
        <v>172</v>
      </c>
      <c r="B47" s="144" t="s">
        <v>44</v>
      </c>
      <c r="C47" s="130" t="s">
        <v>207</v>
      </c>
      <c r="D47" s="130" t="s">
        <v>208</v>
      </c>
    </row>
    <row r="48" spans="1:4" ht="15.6" x14ac:dyDescent="0.3">
      <c r="A48" s="152" t="s">
        <v>173</v>
      </c>
      <c r="B48" s="143"/>
    </row>
    <row r="49" spans="1:4" ht="31.2" x14ac:dyDescent="0.3">
      <c r="A49" s="152" t="s">
        <v>167</v>
      </c>
      <c r="B49" s="143"/>
      <c r="D49" s="130" t="s">
        <v>155</v>
      </c>
    </row>
    <row r="50" spans="1:4" ht="15.6" x14ac:dyDescent="0.3">
      <c r="A50" s="152" t="s">
        <v>177</v>
      </c>
      <c r="B50" s="143"/>
    </row>
    <row r="51" spans="1:4" ht="82.8" x14ac:dyDescent="0.25">
      <c r="A51" s="153" t="s">
        <v>113</v>
      </c>
      <c r="B51" s="144" t="s">
        <v>73</v>
      </c>
      <c r="C51" s="130" t="s">
        <v>200</v>
      </c>
      <c r="D51" s="130" t="s">
        <v>155</v>
      </c>
    </row>
    <row r="52" spans="1:4" ht="26.4" x14ac:dyDescent="0.25">
      <c r="A52" s="153" t="s">
        <v>182</v>
      </c>
      <c r="B52" s="144" t="s">
        <v>184</v>
      </c>
      <c r="D52" s="130" t="s">
        <v>155</v>
      </c>
    </row>
    <row r="53" spans="1:4" ht="82.8" x14ac:dyDescent="0.25">
      <c r="A53" s="153" t="s">
        <v>45</v>
      </c>
      <c r="B53" s="144" t="s">
        <v>71</v>
      </c>
      <c r="C53" s="130" t="s">
        <v>210</v>
      </c>
      <c r="D53" s="130" t="s">
        <v>155</v>
      </c>
    </row>
    <row r="54" spans="1:4" ht="96.6" x14ac:dyDescent="0.25">
      <c r="A54" s="153" t="s">
        <v>48</v>
      </c>
      <c r="B54" s="144" t="s">
        <v>44</v>
      </c>
      <c r="C54" s="130" t="s">
        <v>207</v>
      </c>
      <c r="D54" s="130" t="s">
        <v>208</v>
      </c>
    </row>
    <row r="55" spans="1:4" ht="15.6" x14ac:dyDescent="0.3">
      <c r="A55" s="152" t="s">
        <v>170</v>
      </c>
      <c r="B55" s="143"/>
    </row>
    <row r="56" spans="1:4" ht="31.2" x14ac:dyDescent="0.3">
      <c r="A56" s="152" t="s">
        <v>175</v>
      </c>
      <c r="B56" s="143"/>
      <c r="D56" s="130" t="s">
        <v>155</v>
      </c>
    </row>
    <row r="57" spans="1:4" ht="82.8" x14ac:dyDescent="0.25">
      <c r="A57" s="153" t="s">
        <v>113</v>
      </c>
      <c r="B57" s="144" t="s">
        <v>179</v>
      </c>
      <c r="C57" s="130" t="s">
        <v>200</v>
      </c>
      <c r="D57" s="130" t="s">
        <v>155</v>
      </c>
    </row>
    <row r="58" spans="1:4" ht="55.2" x14ac:dyDescent="0.25">
      <c r="A58" s="153" t="s">
        <v>178</v>
      </c>
      <c r="B58" s="144" t="s">
        <v>185</v>
      </c>
      <c r="C58" s="130" t="s">
        <v>213</v>
      </c>
      <c r="D58" s="130" t="s">
        <v>155</v>
      </c>
    </row>
    <row r="59" spans="1:4" ht="39.6" x14ac:dyDescent="0.25">
      <c r="A59" s="153" t="s">
        <v>45</v>
      </c>
      <c r="B59" s="144" t="s">
        <v>186</v>
      </c>
      <c r="D59" s="130" t="s">
        <v>155</v>
      </c>
    </row>
    <row r="60" spans="1:4" ht="96.6" x14ac:dyDescent="0.25">
      <c r="A60" s="153" t="s">
        <v>187</v>
      </c>
      <c r="B60" s="144" t="s">
        <v>44</v>
      </c>
      <c r="C60" s="130" t="s">
        <v>207</v>
      </c>
      <c r="D60" s="130" t="s">
        <v>208</v>
      </c>
    </row>
    <row r="61" spans="1:4" ht="15.6" x14ac:dyDescent="0.3">
      <c r="A61" s="152" t="s">
        <v>170</v>
      </c>
      <c r="B61" s="143"/>
    </row>
    <row r="62" spans="1:4" ht="15.6" x14ac:dyDescent="0.3">
      <c r="A62" s="152" t="s">
        <v>191</v>
      </c>
      <c r="B62" s="143"/>
    </row>
    <row r="63" spans="1:4" ht="27.6" x14ac:dyDescent="0.25">
      <c r="A63" s="153" t="s">
        <v>190</v>
      </c>
      <c r="B63" s="144" t="s">
        <v>193</v>
      </c>
      <c r="D63" s="130" t="s">
        <v>196</v>
      </c>
    </row>
    <row r="64" spans="1:4" ht="52.8" x14ac:dyDescent="0.25">
      <c r="A64" s="153" t="s">
        <v>113</v>
      </c>
      <c r="B64" s="144" t="s">
        <v>188</v>
      </c>
      <c r="D64" s="130" t="s">
        <v>155</v>
      </c>
    </row>
    <row r="65" spans="1:4" ht="27.6" x14ac:dyDescent="0.25">
      <c r="A65" s="153" t="s">
        <v>194</v>
      </c>
      <c r="B65" s="144" t="s">
        <v>189</v>
      </c>
      <c r="D65" s="130" t="s">
        <v>196</v>
      </c>
    </row>
    <row r="66" spans="1:4" ht="39.6" x14ac:dyDescent="0.25">
      <c r="A66" s="153" t="s">
        <v>45</v>
      </c>
      <c r="B66" s="144" t="s">
        <v>195</v>
      </c>
      <c r="D66" s="130" t="s">
        <v>196</v>
      </c>
    </row>
    <row r="67" spans="1:4" ht="15.6" x14ac:dyDescent="0.3">
      <c r="A67" s="152" t="s">
        <v>170</v>
      </c>
      <c r="B67" s="143"/>
    </row>
    <row r="68" spans="1:4" ht="31.2" x14ac:dyDescent="0.3">
      <c r="A68" s="152" t="s">
        <v>192</v>
      </c>
      <c r="B68" s="143"/>
    </row>
    <row r="69" spans="1:4" ht="27.6" x14ac:dyDescent="0.25">
      <c r="A69" s="153" t="s">
        <v>190</v>
      </c>
      <c r="B69" s="144" t="s">
        <v>179</v>
      </c>
      <c r="D69" s="130" t="s">
        <v>197</v>
      </c>
    </row>
    <row r="70" spans="1:4" ht="52.8" x14ac:dyDescent="0.25">
      <c r="A70" s="153" t="s">
        <v>113</v>
      </c>
      <c r="B70" s="144" t="s">
        <v>179</v>
      </c>
      <c r="D70" s="130" t="s">
        <v>155</v>
      </c>
    </row>
    <row r="71" spans="1:4" ht="27.6" x14ac:dyDescent="0.25">
      <c r="A71" s="153" t="s">
        <v>198</v>
      </c>
      <c r="B71" s="144" t="s">
        <v>57</v>
      </c>
      <c r="D71" s="130" t="s">
        <v>197</v>
      </c>
    </row>
    <row r="72" spans="1:4" ht="39.6" x14ac:dyDescent="0.25">
      <c r="A72" s="153" t="s">
        <v>45</v>
      </c>
      <c r="B72" s="144" t="s">
        <v>73</v>
      </c>
      <c r="D72" s="130" t="s">
        <v>197</v>
      </c>
    </row>
    <row r="73" spans="1:4" x14ac:dyDescent="0.25">
      <c r="A73" s="153"/>
      <c r="B73" s="144"/>
    </row>
    <row r="74" spans="1:4" x14ac:dyDescent="0.25">
      <c r="A74" s="153"/>
      <c r="B74" s="144"/>
    </row>
    <row r="75" spans="1:4" x14ac:dyDescent="0.25">
      <c r="A75" s="153"/>
      <c r="B75" s="144"/>
    </row>
    <row r="76" spans="1:4" x14ac:dyDescent="0.25">
      <c r="A76" s="153"/>
      <c r="B76" s="144"/>
    </row>
    <row r="77" spans="1:4" s="156" customFormat="1" x14ac:dyDescent="0.25">
      <c r="A77" s="154" t="s">
        <v>199</v>
      </c>
      <c r="B77" s="145" t="s">
        <v>72</v>
      </c>
      <c r="C77" s="155"/>
      <c r="D77" s="157">
        <v>46053</v>
      </c>
    </row>
    <row r="78" spans="1:4" x14ac:dyDescent="0.25">
      <c r="A78" s="154" t="s">
        <v>81</v>
      </c>
      <c r="B78" s="145" t="s">
        <v>72</v>
      </c>
    </row>
  </sheetData>
  <mergeCells count="1">
    <mergeCell ref="A1:D1"/>
  </mergeCells>
  <conditionalFormatting sqref="B6 A6:A7">
    <cfRule type="expression" dxfId="11" priority="1">
      <formula>AND(TODAY()&gt;=I$6, TODAY()&lt;J$6)</formula>
    </cfRule>
    <cfRule type="expression" dxfId="10" priority="2">
      <formula>AND(task_start&lt;=I$6,ROUNDDOWN((task_end-task_start+1)*task_progress,0)+task_start-1&gt;=I$6)</formula>
    </cfRule>
    <cfRule type="expression" dxfId="9" priority="3" stopIfTrue="1">
      <formula>AND(task_end&gt;=I$6,task_start&lt;J$6)</formula>
    </cfRule>
  </conditionalFormatting>
  <conditionalFormatting sqref="B7">
    <cfRule type="expression" dxfId="8" priority="4">
      <formula>AND(TODAY()&gt;=L$6, TODAY()&lt;M$6)</formula>
    </cfRule>
    <cfRule type="expression" dxfId="7" priority="5">
      <formula>AND(task_start&lt;=L$6,ROUNDDOWN((task_end-task_start+1)*task_progress,0)+task_start-1&gt;=L$6)</formula>
    </cfRule>
    <cfRule type="expression" dxfId="6" priority="6" stopIfTrue="1">
      <formula>AND(task_end&gt;=L$6,task_start&lt;M$6)</formula>
    </cfRule>
  </conditionalFormatting>
  <pageMargins left="0.7" right="0.7" top="0.75" bottom="0.75" header="0.3" footer="0.3"/>
  <pageSetup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1E21E-2684-4ECD-B771-0023314D3BD7}">
  <dimension ref="B4:S46"/>
  <sheetViews>
    <sheetView topLeftCell="A11" workbookViewId="0">
      <selection activeCell="F26" sqref="F26"/>
    </sheetView>
  </sheetViews>
  <sheetFormatPr defaultRowHeight="13.8" x14ac:dyDescent="0.25"/>
  <cols>
    <col min="3" max="3" width="5.3984375" style="122" customWidth="1"/>
    <col min="4" max="4" width="9" style="122"/>
    <col min="5" max="5" width="4.8984375" style="122" customWidth="1"/>
    <col min="6" max="6" width="10.09765625" bestFit="1" customWidth="1"/>
    <col min="8" max="9" width="11.09765625" bestFit="1" customWidth="1"/>
    <col min="16" max="18" width="10.09765625" bestFit="1" customWidth="1"/>
    <col min="19" max="19" width="11.09765625" customWidth="1"/>
  </cols>
  <sheetData>
    <row r="4" spans="2:18" x14ac:dyDescent="0.25">
      <c r="B4" t="s">
        <v>124</v>
      </c>
      <c r="D4" s="122" t="s">
        <v>107</v>
      </c>
      <c r="F4" t="s">
        <v>108</v>
      </c>
      <c r="K4" t="s">
        <v>124</v>
      </c>
      <c r="L4" t="s">
        <v>107</v>
      </c>
      <c r="M4" t="s">
        <v>108</v>
      </c>
    </row>
    <row r="5" spans="2:18" x14ac:dyDescent="0.25">
      <c r="B5" t="s">
        <v>104</v>
      </c>
      <c r="D5" s="123">
        <v>138</v>
      </c>
      <c r="E5" s="123"/>
      <c r="F5" s="120">
        <v>229</v>
      </c>
      <c r="K5" t="s">
        <v>130</v>
      </c>
      <c r="L5">
        <v>68</v>
      </c>
      <c r="M5">
        <v>110</v>
      </c>
    </row>
    <row r="6" spans="2:18" x14ac:dyDescent="0.25">
      <c r="B6" t="s">
        <v>105</v>
      </c>
      <c r="D6" s="123">
        <v>122</v>
      </c>
      <c r="E6" s="123"/>
      <c r="F6" s="120">
        <v>354</v>
      </c>
    </row>
    <row r="7" spans="2:18" x14ac:dyDescent="0.25">
      <c r="B7" t="s">
        <v>106</v>
      </c>
      <c r="D7" s="123">
        <v>99</v>
      </c>
      <c r="E7" s="123"/>
      <c r="F7" s="120">
        <v>159</v>
      </c>
    </row>
    <row r="9" spans="2:18" x14ac:dyDescent="0.25">
      <c r="M9" s="38"/>
    </row>
    <row r="10" spans="2:18" x14ac:dyDescent="0.25">
      <c r="B10" s="176" t="s">
        <v>126</v>
      </c>
      <c r="C10" s="176"/>
      <c r="D10" s="176"/>
      <c r="E10" s="176"/>
      <c r="F10" s="176"/>
      <c r="G10" s="176"/>
      <c r="H10" s="176"/>
      <c r="I10" s="176"/>
    </row>
    <row r="11" spans="2:18" ht="55.2" x14ac:dyDescent="0.25">
      <c r="B11" s="124" t="s">
        <v>104</v>
      </c>
      <c r="C11" s="125" t="s">
        <v>122</v>
      </c>
      <c r="D11" s="125" t="s">
        <v>120</v>
      </c>
      <c r="E11" s="125" t="s">
        <v>121</v>
      </c>
      <c r="F11" s="126" t="s">
        <v>111</v>
      </c>
      <c r="G11" s="126" t="s">
        <v>112</v>
      </c>
      <c r="H11" s="126" t="s">
        <v>108</v>
      </c>
      <c r="I11" s="127"/>
      <c r="L11" s="118" t="s">
        <v>30</v>
      </c>
      <c r="M11" s="125" t="s">
        <v>122</v>
      </c>
      <c r="N11" s="125" t="s">
        <v>120</v>
      </c>
      <c r="O11" s="125" t="s">
        <v>121</v>
      </c>
      <c r="P11" s="126" t="s">
        <v>111</v>
      </c>
      <c r="Q11" s="126" t="s">
        <v>112</v>
      </c>
      <c r="R11" s="126" t="s">
        <v>108</v>
      </c>
    </row>
    <row r="12" spans="2:18" x14ac:dyDescent="0.25">
      <c r="B12" s="127" t="s">
        <v>43</v>
      </c>
      <c r="C12" s="125">
        <v>2</v>
      </c>
      <c r="D12" s="125">
        <v>3</v>
      </c>
      <c r="E12" s="125">
        <f>SUM(C12:D12)</f>
        <v>5</v>
      </c>
      <c r="F12" s="128">
        <f>SUM(($D$5*0.75)*2)+($D$5*D12)</f>
        <v>621</v>
      </c>
      <c r="G12" s="127">
        <v>5</v>
      </c>
      <c r="H12" s="129">
        <f>SUM($F$5*G12)</f>
        <v>1145</v>
      </c>
      <c r="I12" s="127"/>
      <c r="L12" t="s">
        <v>43</v>
      </c>
      <c r="M12" s="126">
        <v>2</v>
      </c>
      <c r="N12" s="126">
        <v>3</v>
      </c>
      <c r="O12" s="126">
        <v>5</v>
      </c>
      <c r="P12" s="128">
        <f>SUM(($L$5*0.75)*2)+($L$5*N12)</f>
        <v>306</v>
      </c>
      <c r="Q12" s="126">
        <v>4</v>
      </c>
      <c r="R12" s="129">
        <f>SUM($M$5*Q12)</f>
        <v>440</v>
      </c>
    </row>
    <row r="13" spans="2:18" x14ac:dyDescent="0.25">
      <c r="B13" s="127" t="s">
        <v>44</v>
      </c>
      <c r="C13" s="125">
        <v>2</v>
      </c>
      <c r="D13" s="125">
        <v>3</v>
      </c>
      <c r="E13" s="125">
        <f t="shared" ref="E13:E15" si="0">SUM(C13:D13)</f>
        <v>5</v>
      </c>
      <c r="F13" s="128">
        <f>F12</f>
        <v>621</v>
      </c>
      <c r="G13" s="127">
        <v>5</v>
      </c>
      <c r="H13" s="129">
        <f t="shared" ref="H13:H15" si="1">SUM($F$5*G13)</f>
        <v>1145</v>
      </c>
      <c r="I13" s="127"/>
      <c r="L13" t="s">
        <v>44</v>
      </c>
      <c r="M13" s="126">
        <v>2</v>
      </c>
      <c r="N13" s="126">
        <v>3</v>
      </c>
      <c r="O13" s="126">
        <v>5</v>
      </c>
      <c r="P13" s="128">
        <f t="shared" ref="P13:P16" si="2">SUM(($L$5*0.75)*2)+($L$5*N13)</f>
        <v>306</v>
      </c>
      <c r="Q13" s="126">
        <v>4</v>
      </c>
      <c r="R13" s="129">
        <f t="shared" ref="R13:R16" si="3">SUM($M$5*Q13)</f>
        <v>440</v>
      </c>
    </row>
    <row r="14" spans="2:18" x14ac:dyDescent="0.25">
      <c r="B14" s="127" t="s">
        <v>109</v>
      </c>
      <c r="C14" s="125">
        <v>2</v>
      </c>
      <c r="D14" s="125">
        <v>3</v>
      </c>
      <c r="E14" s="125">
        <f t="shared" si="0"/>
        <v>5</v>
      </c>
      <c r="F14" s="128">
        <f>SUM(($D$5*0.75)*2)+($D$5*D14)</f>
        <v>621</v>
      </c>
      <c r="G14" s="127">
        <v>5</v>
      </c>
      <c r="H14" s="129">
        <f t="shared" si="1"/>
        <v>1145</v>
      </c>
      <c r="I14" s="127"/>
      <c r="L14" t="s">
        <v>123</v>
      </c>
      <c r="M14" s="126">
        <v>2</v>
      </c>
      <c r="N14" s="126">
        <v>3</v>
      </c>
      <c r="O14" s="126">
        <v>5</v>
      </c>
      <c r="P14" s="128">
        <f t="shared" si="2"/>
        <v>306</v>
      </c>
      <c r="Q14" s="126">
        <v>4</v>
      </c>
      <c r="R14" s="129">
        <f t="shared" si="3"/>
        <v>440</v>
      </c>
    </row>
    <row r="15" spans="2:18" x14ac:dyDescent="0.25">
      <c r="B15" s="127" t="s">
        <v>110</v>
      </c>
      <c r="C15" s="125">
        <v>2</v>
      </c>
      <c r="D15" s="125">
        <v>3</v>
      </c>
      <c r="E15" s="125">
        <f t="shared" si="0"/>
        <v>5</v>
      </c>
      <c r="F15" s="128">
        <f>F14</f>
        <v>621</v>
      </c>
      <c r="G15" s="127">
        <v>5</v>
      </c>
      <c r="H15" s="129">
        <f t="shared" si="1"/>
        <v>1145</v>
      </c>
      <c r="I15" s="127"/>
      <c r="L15" t="s">
        <v>109</v>
      </c>
      <c r="M15" s="126">
        <v>2</v>
      </c>
      <c r="N15" s="126">
        <v>3</v>
      </c>
      <c r="O15" s="126">
        <v>5</v>
      </c>
      <c r="P15" s="128">
        <f t="shared" si="2"/>
        <v>306</v>
      </c>
      <c r="Q15" s="126">
        <v>4</v>
      </c>
      <c r="R15" s="129">
        <f t="shared" si="3"/>
        <v>440</v>
      </c>
    </row>
    <row r="16" spans="2:18" x14ac:dyDescent="0.25">
      <c r="B16" s="127"/>
      <c r="C16" s="130"/>
      <c r="D16" s="130"/>
      <c r="E16" s="130"/>
      <c r="F16" s="128">
        <f>SUM(F12:F15)</f>
        <v>2484</v>
      </c>
      <c r="G16" s="127"/>
      <c r="H16" s="128">
        <f>SUM(H12:H15)</f>
        <v>4580</v>
      </c>
      <c r="I16" s="129">
        <f>SUM(H16+F16)</f>
        <v>7064</v>
      </c>
      <c r="L16" t="s">
        <v>110</v>
      </c>
      <c r="M16" s="126">
        <v>2</v>
      </c>
      <c r="N16" s="126">
        <v>3</v>
      </c>
      <c r="O16" s="126">
        <v>5</v>
      </c>
      <c r="P16" s="128">
        <f t="shared" si="2"/>
        <v>306</v>
      </c>
      <c r="Q16" s="126">
        <v>4</v>
      </c>
      <c r="R16" s="129">
        <f t="shared" si="3"/>
        <v>440</v>
      </c>
    </row>
    <row r="17" spans="2:19" x14ac:dyDescent="0.25">
      <c r="B17" s="127"/>
      <c r="C17" s="130"/>
      <c r="D17" s="130"/>
      <c r="E17" s="130"/>
      <c r="F17" s="127"/>
      <c r="G17" s="127"/>
      <c r="H17" s="127"/>
      <c r="I17" s="127"/>
      <c r="M17" s="126"/>
      <c r="N17" s="126"/>
      <c r="O17" s="126"/>
      <c r="P17" s="128"/>
      <c r="Q17" s="126"/>
      <c r="R17" s="129"/>
    </row>
    <row r="18" spans="2:19" ht="55.2" x14ac:dyDescent="0.25">
      <c r="B18" s="124" t="s">
        <v>105</v>
      </c>
      <c r="C18" s="125" t="s">
        <v>122</v>
      </c>
      <c r="D18" s="125" t="s">
        <v>120</v>
      </c>
      <c r="E18" s="125" t="s">
        <v>121</v>
      </c>
      <c r="F18" s="126" t="s">
        <v>111</v>
      </c>
      <c r="G18" s="126" t="s">
        <v>112</v>
      </c>
      <c r="H18" s="126" t="s">
        <v>108</v>
      </c>
      <c r="I18" s="127"/>
      <c r="M18" s="126"/>
      <c r="N18" s="126"/>
      <c r="O18" s="126"/>
      <c r="P18" s="128"/>
      <c r="Q18" s="126"/>
      <c r="R18" s="129"/>
    </row>
    <row r="19" spans="2:19" x14ac:dyDescent="0.25">
      <c r="B19" s="127" t="s">
        <v>43</v>
      </c>
      <c r="C19" s="125">
        <v>2</v>
      </c>
      <c r="D19" s="125">
        <v>3</v>
      </c>
      <c r="E19" s="125">
        <f>SUM(C19:D19)</f>
        <v>5</v>
      </c>
      <c r="F19" s="128">
        <f>SUM(($D$6*0.75)*2)+($D$6*D19)</f>
        <v>549</v>
      </c>
      <c r="G19" s="127">
        <v>5</v>
      </c>
      <c r="H19" s="129">
        <f>SUM($F$6*G19)</f>
        <v>1770</v>
      </c>
      <c r="I19" s="127"/>
    </row>
    <row r="20" spans="2:19" x14ac:dyDescent="0.25">
      <c r="B20" s="127" t="s">
        <v>44</v>
      </c>
      <c r="C20" s="125">
        <v>2</v>
      </c>
      <c r="D20" s="125">
        <v>3</v>
      </c>
      <c r="E20" s="125">
        <f t="shared" ref="E20:E22" si="4">SUM(C20:D20)</f>
        <v>5</v>
      </c>
      <c r="F20" s="128">
        <f>F19</f>
        <v>549</v>
      </c>
      <c r="G20" s="127">
        <v>5</v>
      </c>
      <c r="H20" s="129">
        <f t="shared" ref="H20:H22" si="5">SUM($F$6*G20)</f>
        <v>1770</v>
      </c>
      <c r="I20" s="127"/>
      <c r="P20" s="121">
        <f>SUM(P12:P18)</f>
        <v>1530</v>
      </c>
      <c r="R20" s="121">
        <f>SUM(R12:R18)</f>
        <v>2200</v>
      </c>
      <c r="S20" s="121">
        <f>SUM(P20:R20)</f>
        <v>3730</v>
      </c>
    </row>
    <row r="21" spans="2:19" x14ac:dyDescent="0.25">
      <c r="B21" s="127" t="s">
        <v>123</v>
      </c>
      <c r="C21" s="125">
        <v>2</v>
      </c>
      <c r="D21" s="125">
        <v>3</v>
      </c>
      <c r="E21" s="125">
        <f t="shared" si="4"/>
        <v>5</v>
      </c>
      <c r="F21" s="128">
        <f>SUM(($D$6*0.75)*2)+($D$6*D21)</f>
        <v>549</v>
      </c>
      <c r="G21" s="127">
        <v>5</v>
      </c>
      <c r="H21" s="129">
        <f t="shared" si="5"/>
        <v>1770</v>
      </c>
      <c r="I21" s="127"/>
    </row>
    <row r="22" spans="2:19" x14ac:dyDescent="0.25">
      <c r="B22" s="127" t="s">
        <v>110</v>
      </c>
      <c r="C22" s="125">
        <v>2</v>
      </c>
      <c r="D22" s="125">
        <v>3</v>
      </c>
      <c r="E22" s="125">
        <f t="shared" si="4"/>
        <v>5</v>
      </c>
      <c r="F22" s="128">
        <f>F21</f>
        <v>549</v>
      </c>
      <c r="G22" s="127">
        <v>5</v>
      </c>
      <c r="H22" s="129">
        <f t="shared" si="5"/>
        <v>1770</v>
      </c>
      <c r="I22" s="127"/>
    </row>
    <row r="23" spans="2:19" x14ac:dyDescent="0.25">
      <c r="B23" s="127"/>
      <c r="C23" s="130"/>
      <c r="D23" s="130"/>
      <c r="E23" s="130"/>
      <c r="F23" s="128">
        <f>SUM(F19:F22)</f>
        <v>2196</v>
      </c>
      <c r="G23" s="127"/>
      <c r="H23" s="128">
        <f>SUM(H19:H22)</f>
        <v>7080</v>
      </c>
      <c r="I23" s="129">
        <f>SUM(H23+F23)</f>
        <v>9276</v>
      </c>
    </row>
    <row r="24" spans="2:19" x14ac:dyDescent="0.25">
      <c r="B24" s="127"/>
      <c r="C24" s="130"/>
      <c r="D24" s="130"/>
      <c r="E24" s="130"/>
      <c r="F24" s="127"/>
      <c r="G24" s="127"/>
      <c r="H24" s="127"/>
      <c r="I24" s="127"/>
      <c r="L24" s="114" t="s">
        <v>140</v>
      </c>
    </row>
    <row r="25" spans="2:19" ht="55.2" x14ac:dyDescent="0.25">
      <c r="B25" s="124" t="s">
        <v>106</v>
      </c>
      <c r="C25" s="125" t="s">
        <v>122</v>
      </c>
      <c r="D25" s="125" t="s">
        <v>120</v>
      </c>
      <c r="E25" s="125" t="s">
        <v>121</v>
      </c>
      <c r="F25" s="126" t="s">
        <v>111</v>
      </c>
      <c r="G25" s="126" t="s">
        <v>112</v>
      </c>
      <c r="H25" s="126" t="s">
        <v>108</v>
      </c>
      <c r="I25" s="127"/>
      <c r="L25" t="s">
        <v>132</v>
      </c>
      <c r="M25" t="s">
        <v>133</v>
      </c>
      <c r="N25" t="s">
        <v>135</v>
      </c>
      <c r="O25" t="s">
        <v>136</v>
      </c>
      <c r="P25" t="s">
        <v>137</v>
      </c>
    </row>
    <row r="26" spans="2:19" x14ac:dyDescent="0.25">
      <c r="B26" s="127" t="s">
        <v>43</v>
      </c>
      <c r="C26" s="125">
        <v>2</v>
      </c>
      <c r="D26" s="125">
        <v>3</v>
      </c>
      <c r="E26" s="125">
        <f>SUM(C26:D26)</f>
        <v>5</v>
      </c>
      <c r="F26" s="128">
        <f>SUM(($D$7*0.75)*2)+($D$7*5)</f>
        <v>643.5</v>
      </c>
      <c r="G26" s="127">
        <v>5</v>
      </c>
      <c r="H26" s="129">
        <f>SUM($F$7*G26)</f>
        <v>795</v>
      </c>
      <c r="I26" s="127"/>
      <c r="L26">
        <f>SUM(36*36)</f>
        <v>1296</v>
      </c>
      <c r="M26" t="s">
        <v>134</v>
      </c>
      <c r="N26">
        <v>6</v>
      </c>
      <c r="O26" s="120">
        <v>0.27</v>
      </c>
      <c r="P26" s="120">
        <f>SUM(L26*N26)*O26</f>
        <v>2099.52</v>
      </c>
    </row>
    <row r="27" spans="2:19" x14ac:dyDescent="0.25">
      <c r="B27" s="127" t="s">
        <v>44</v>
      </c>
      <c r="C27" s="125">
        <v>2</v>
      </c>
      <c r="D27" s="125">
        <v>3</v>
      </c>
      <c r="E27" s="125">
        <f t="shared" ref="E27:E29" si="6">SUM(C27:D27)</f>
        <v>5</v>
      </c>
      <c r="F27" s="128">
        <f>SUM(($D$7*0.75)*2)+($D$7*5)</f>
        <v>643.5</v>
      </c>
      <c r="G27" s="127">
        <v>5</v>
      </c>
      <c r="H27" s="129">
        <f t="shared" ref="H27:H29" si="7">SUM($F$7*G27)</f>
        <v>795</v>
      </c>
      <c r="I27" s="127"/>
      <c r="L27">
        <f>SUM(6*8)</f>
        <v>48</v>
      </c>
      <c r="M27" t="s">
        <v>138</v>
      </c>
      <c r="N27">
        <v>6</v>
      </c>
      <c r="O27" s="120">
        <v>0.27</v>
      </c>
      <c r="P27" s="120">
        <f>SUM(L27*N27)*O27</f>
        <v>77.760000000000005</v>
      </c>
    </row>
    <row r="28" spans="2:19" x14ac:dyDescent="0.25">
      <c r="B28" s="127" t="s">
        <v>123</v>
      </c>
      <c r="C28" s="125">
        <v>2</v>
      </c>
      <c r="D28" s="125">
        <v>3</v>
      </c>
      <c r="E28" s="125">
        <f t="shared" si="6"/>
        <v>5</v>
      </c>
      <c r="F28" s="128">
        <f>SUM(($D$7*0.75)*2)+($D$7*5)</f>
        <v>643.5</v>
      </c>
      <c r="G28" s="127">
        <v>5</v>
      </c>
      <c r="H28" s="129">
        <f t="shared" si="7"/>
        <v>795</v>
      </c>
      <c r="I28" s="127"/>
      <c r="L28">
        <f>SUM(8*50)</f>
        <v>400</v>
      </c>
      <c r="M28" t="s">
        <v>139</v>
      </c>
      <c r="N28">
        <v>6</v>
      </c>
      <c r="O28" s="120">
        <v>0.27</v>
      </c>
      <c r="P28" s="120">
        <f>SUM(L28*N28)*O28</f>
        <v>648</v>
      </c>
    </row>
    <row r="29" spans="2:19" x14ac:dyDescent="0.25">
      <c r="B29" s="127" t="s">
        <v>109</v>
      </c>
      <c r="C29" s="125">
        <v>2</v>
      </c>
      <c r="D29" s="125">
        <v>3</v>
      </c>
      <c r="E29" s="125">
        <f t="shared" si="6"/>
        <v>5</v>
      </c>
      <c r="F29" s="128">
        <f>F28</f>
        <v>643.5</v>
      </c>
      <c r="G29" s="127">
        <v>5</v>
      </c>
      <c r="H29" s="129">
        <f t="shared" si="7"/>
        <v>795</v>
      </c>
      <c r="I29" s="127"/>
    </row>
    <row r="30" spans="2:19" x14ac:dyDescent="0.25">
      <c r="B30" s="127"/>
      <c r="C30" s="130"/>
      <c r="D30" s="130"/>
      <c r="E30" s="130"/>
      <c r="F30" s="128">
        <f>SUM(F26:F29)</f>
        <v>2574</v>
      </c>
      <c r="G30" s="127"/>
      <c r="H30" s="128">
        <f>SUM(H26:H29)</f>
        <v>3180</v>
      </c>
      <c r="I30" s="129">
        <f>SUM(H30+F30)</f>
        <v>5754</v>
      </c>
      <c r="P30" s="121">
        <f>SUM(P26:P28)</f>
        <v>2825.28</v>
      </c>
      <c r="Q30" s="121">
        <f>SUM(P30/N26)</f>
        <v>470.88000000000005</v>
      </c>
    </row>
    <row r="32" spans="2:19" x14ac:dyDescent="0.25">
      <c r="B32" s="176" t="s">
        <v>127</v>
      </c>
      <c r="C32" s="176"/>
      <c r="D32" s="176"/>
      <c r="E32" s="176"/>
      <c r="F32" s="176"/>
      <c r="G32" s="176"/>
      <c r="H32" s="176"/>
      <c r="I32" s="176"/>
      <c r="L32" t="s">
        <v>141</v>
      </c>
    </row>
    <row r="33" spans="2:18" ht="55.2" x14ac:dyDescent="0.25">
      <c r="B33" s="124" t="s">
        <v>104</v>
      </c>
      <c r="C33" s="125" t="s">
        <v>122</v>
      </c>
      <c r="D33" s="125" t="s">
        <v>120</v>
      </c>
      <c r="E33" s="125" t="s">
        <v>121</v>
      </c>
      <c r="F33" s="126" t="s">
        <v>111</v>
      </c>
      <c r="G33" s="126" t="s">
        <v>112</v>
      </c>
      <c r="H33" s="126" t="s">
        <v>108</v>
      </c>
      <c r="I33" s="127"/>
      <c r="L33" t="s">
        <v>143</v>
      </c>
      <c r="M33" s="122" t="s">
        <v>144</v>
      </c>
      <c r="N33" t="s">
        <v>135</v>
      </c>
      <c r="O33" t="s">
        <v>142</v>
      </c>
      <c r="P33" t="s">
        <v>137</v>
      </c>
    </row>
    <row r="34" spans="2:18" x14ac:dyDescent="0.25">
      <c r="B34" s="127" t="s">
        <v>43</v>
      </c>
      <c r="C34" s="125">
        <v>2</v>
      </c>
      <c r="D34" s="125">
        <v>3</v>
      </c>
      <c r="E34" s="125">
        <f>SUM(C34:D34)</f>
        <v>5</v>
      </c>
      <c r="F34" s="128">
        <f>SUM(($D$5*0.75)*2)+($D$5*D34)</f>
        <v>621</v>
      </c>
      <c r="G34" s="127">
        <v>5</v>
      </c>
      <c r="H34" s="129">
        <f>SUM($F$5*G34)</f>
        <v>1145</v>
      </c>
      <c r="I34" s="127"/>
      <c r="L34" t="s">
        <v>145</v>
      </c>
      <c r="M34">
        <v>6</v>
      </c>
      <c r="N34">
        <v>6</v>
      </c>
      <c r="O34" s="120">
        <v>91</v>
      </c>
      <c r="P34" s="121">
        <f>SUM(M34*N34)*O34</f>
        <v>3276</v>
      </c>
      <c r="Q34" s="121">
        <f>SUM(P30+P34)</f>
        <v>6101.2800000000007</v>
      </c>
      <c r="R34" s="121">
        <f>SUM(P34/M34)</f>
        <v>546</v>
      </c>
    </row>
    <row r="35" spans="2:18" x14ac:dyDescent="0.25">
      <c r="B35" s="127" t="s">
        <v>44</v>
      </c>
      <c r="C35" s="125">
        <v>2</v>
      </c>
      <c r="D35" s="125">
        <v>3</v>
      </c>
      <c r="E35" s="125">
        <f t="shared" ref="E35" si="8">SUM(C35:D35)</f>
        <v>5</v>
      </c>
      <c r="F35" s="128">
        <f>F34</f>
        <v>621</v>
      </c>
      <c r="G35" s="127">
        <v>5</v>
      </c>
      <c r="H35" s="129">
        <f t="shared" ref="H35" si="9">SUM($F$5*G35)</f>
        <v>1145</v>
      </c>
      <c r="I35" s="127"/>
    </row>
    <row r="36" spans="2:18" x14ac:dyDescent="0.25">
      <c r="B36" s="127"/>
      <c r="C36" s="130"/>
      <c r="D36" s="130"/>
      <c r="E36" s="130"/>
      <c r="F36" s="128">
        <f>SUM(F34:F35)</f>
        <v>1242</v>
      </c>
      <c r="G36" s="127"/>
      <c r="H36" s="128">
        <f>SUM(H34:H35)</f>
        <v>2290</v>
      </c>
      <c r="I36" s="129">
        <f>SUM(H36+F36)</f>
        <v>3532</v>
      </c>
    </row>
    <row r="37" spans="2:18" x14ac:dyDescent="0.25">
      <c r="B37" s="127"/>
      <c r="C37" s="130"/>
      <c r="D37" s="130"/>
      <c r="E37" s="130"/>
      <c r="F37" s="127"/>
      <c r="G37" s="127"/>
      <c r="H37" s="127"/>
      <c r="I37" s="127"/>
    </row>
    <row r="38" spans="2:18" ht="55.2" x14ac:dyDescent="0.25">
      <c r="B38" s="124" t="s">
        <v>105</v>
      </c>
      <c r="C38" s="125" t="s">
        <v>122</v>
      </c>
      <c r="D38" s="125" t="s">
        <v>120</v>
      </c>
      <c r="E38" s="125" t="s">
        <v>121</v>
      </c>
      <c r="F38" s="126" t="s">
        <v>111</v>
      </c>
      <c r="G38" s="126" t="s">
        <v>112</v>
      </c>
      <c r="H38" s="126" t="s">
        <v>108</v>
      </c>
      <c r="I38" s="127"/>
    </row>
    <row r="39" spans="2:18" x14ac:dyDescent="0.25">
      <c r="B39" s="127" t="s">
        <v>43</v>
      </c>
      <c r="C39" s="125">
        <v>2</v>
      </c>
      <c r="D39" s="125">
        <v>3</v>
      </c>
      <c r="E39" s="125">
        <f>SUM(C39:D39)</f>
        <v>5</v>
      </c>
      <c r="F39" s="128">
        <f>SUM(($D$6*0.75)*2)+($D$6*D39)</f>
        <v>549</v>
      </c>
      <c r="G39" s="127">
        <v>5</v>
      </c>
      <c r="H39" s="129">
        <f>SUM($F$6*G39)</f>
        <v>1770</v>
      </c>
      <c r="I39" s="127"/>
    </row>
    <row r="40" spans="2:18" x14ac:dyDescent="0.25">
      <c r="B40" s="127" t="s">
        <v>44</v>
      </c>
      <c r="C40" s="125">
        <v>2</v>
      </c>
      <c r="D40" s="125">
        <v>3</v>
      </c>
      <c r="E40" s="125">
        <f t="shared" ref="E40" si="10">SUM(C40:D40)</f>
        <v>5</v>
      </c>
      <c r="F40" s="128">
        <f>F39</f>
        <v>549</v>
      </c>
      <c r="G40" s="127">
        <v>5</v>
      </c>
      <c r="H40" s="129">
        <f t="shared" ref="H40" si="11">SUM($F$6*G40)</f>
        <v>1770</v>
      </c>
      <c r="I40" s="127"/>
    </row>
    <row r="41" spans="2:18" x14ac:dyDescent="0.25">
      <c r="B41" s="127"/>
      <c r="C41" s="130"/>
      <c r="D41" s="130"/>
      <c r="E41" s="130"/>
      <c r="F41" s="128">
        <f>SUM(F39:F40)</f>
        <v>1098</v>
      </c>
      <c r="G41" s="127"/>
      <c r="H41" s="128">
        <f>SUM(H39:H40)</f>
        <v>3540</v>
      </c>
      <c r="I41" s="129">
        <f>SUM(H41+F41)</f>
        <v>4638</v>
      </c>
    </row>
    <row r="42" spans="2:18" x14ac:dyDescent="0.25">
      <c r="B42" s="127"/>
      <c r="C42" s="130"/>
      <c r="D42" s="130"/>
      <c r="E42" s="130"/>
      <c r="F42" s="127"/>
      <c r="G42" s="127"/>
      <c r="H42" s="127"/>
      <c r="I42" s="127"/>
    </row>
    <row r="43" spans="2:18" ht="55.2" x14ac:dyDescent="0.25">
      <c r="B43" s="124" t="s">
        <v>106</v>
      </c>
      <c r="C43" s="125" t="s">
        <v>122</v>
      </c>
      <c r="D43" s="125" t="s">
        <v>120</v>
      </c>
      <c r="E43" s="125" t="s">
        <v>121</v>
      </c>
      <c r="F43" s="126" t="s">
        <v>111</v>
      </c>
      <c r="G43" s="126" t="s">
        <v>112</v>
      </c>
      <c r="H43" s="126" t="s">
        <v>108</v>
      </c>
      <c r="I43" s="127"/>
    </row>
    <row r="44" spans="2:18" x14ac:dyDescent="0.25">
      <c r="B44" s="127" t="s">
        <v>43</v>
      </c>
      <c r="C44" s="125">
        <v>2</v>
      </c>
      <c r="D44" s="125">
        <v>3</v>
      </c>
      <c r="E44" s="125">
        <f>SUM(C44:D44)</f>
        <v>5</v>
      </c>
      <c r="F44" s="128">
        <f>SUM(($D$7*0.75)*2)+($D$7*8)</f>
        <v>940.5</v>
      </c>
      <c r="G44" s="127">
        <v>5</v>
      </c>
      <c r="H44" s="129">
        <f>SUM($F$7*G44)</f>
        <v>795</v>
      </c>
      <c r="I44" s="127"/>
    </row>
    <row r="45" spans="2:18" x14ac:dyDescent="0.25">
      <c r="B45" s="127" t="s">
        <v>44</v>
      </c>
      <c r="C45" s="125">
        <v>2</v>
      </c>
      <c r="D45" s="125">
        <v>3</v>
      </c>
      <c r="E45" s="125">
        <f t="shared" ref="E45" si="12">SUM(C45:D45)</f>
        <v>5</v>
      </c>
      <c r="F45" s="128">
        <f>F44</f>
        <v>940.5</v>
      </c>
      <c r="G45" s="127">
        <v>5</v>
      </c>
      <c r="H45" s="129">
        <f t="shared" ref="H45" si="13">SUM($F$7*G45)</f>
        <v>795</v>
      </c>
      <c r="I45" s="127"/>
    </row>
    <row r="46" spans="2:18" x14ac:dyDescent="0.25">
      <c r="B46" s="127"/>
      <c r="C46" s="130"/>
      <c r="D46" s="130"/>
      <c r="E46" s="130"/>
      <c r="F46" s="128">
        <f>SUM(F44:F45)</f>
        <v>1881</v>
      </c>
      <c r="G46" s="127"/>
      <c r="H46" s="128">
        <f>SUM(H44:H45)</f>
        <v>1590</v>
      </c>
      <c r="I46" s="129">
        <f>SUM(H46+F46)</f>
        <v>3471</v>
      </c>
    </row>
  </sheetData>
  <mergeCells count="2">
    <mergeCell ref="B10:I10"/>
    <mergeCell ref="B32:I32"/>
  </mergeCells>
  <conditionalFormatting sqref="L24">
    <cfRule type="expression" dxfId="5" priority="1">
      <formula>AND(TODAY()&gt;=L$5, TODAY()&lt;M$5)</formula>
    </cfRule>
    <cfRule type="expression" dxfId="4" priority="2">
      <formula>AND(task_start&lt;=L$5,ROUNDDOWN((task_end-task_start+1)*task_progress,0)+task_start-1&gt;=L$5)</formula>
    </cfRule>
    <cfRule type="expression" dxfId="3" priority="3" stopIfTrue="1">
      <formula>AND(task_end&gt;=L$5,task_start&lt;M$5)</formula>
    </cfRule>
  </conditionalFormatting>
  <conditionalFormatting sqref="M9">
    <cfRule type="expression" dxfId="2" priority="4">
      <formula>AND(TODAY()&gt;=M$5, TODAY()&lt;N$5)</formula>
    </cfRule>
    <cfRule type="expression" dxfId="1" priority="5">
      <formula>AND(task_start&lt;=M$5,ROUNDDOWN((task_end-task_start+1)*task_progress,0)+task_start-1&gt;=M$5)</formula>
    </cfRule>
    <cfRule type="expression" dxfId="0" priority="6" stopIfTrue="1">
      <formula>AND(task_end&gt;=M$5,task_start&lt;N$5)</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4"/>
  <sheetViews>
    <sheetView showGridLines="0" zoomScaleNormal="100" workbookViewId="0"/>
  </sheetViews>
  <sheetFormatPr defaultColWidth="9" defaultRowHeight="13.2" x14ac:dyDescent="0.25"/>
  <cols>
    <col min="1" max="1" width="87" style="7" customWidth="1"/>
    <col min="2" max="16384" width="9" style="1"/>
  </cols>
  <sheetData>
    <row r="1" spans="1:2" ht="46.5" customHeight="1" x14ac:dyDescent="0.25"/>
    <row r="2" spans="1:2" s="9" customFormat="1" ht="15.6" x14ac:dyDescent="0.25">
      <c r="A2" s="80" t="s">
        <v>8</v>
      </c>
      <c r="B2" s="8"/>
    </row>
    <row r="3" spans="1:2" s="11" customFormat="1" ht="27" customHeight="1" x14ac:dyDescent="0.25">
      <c r="A3" s="81"/>
      <c r="B3" s="12"/>
    </row>
    <row r="4" spans="1:2" s="10" customFormat="1" ht="30" x14ac:dyDescent="0.7">
      <c r="A4" s="82" t="s">
        <v>7</v>
      </c>
    </row>
    <row r="5" spans="1:2" ht="74.25" customHeight="1" x14ac:dyDescent="0.25">
      <c r="A5" s="83" t="s">
        <v>16</v>
      </c>
    </row>
    <row r="6" spans="1:2" ht="26.25" customHeight="1" x14ac:dyDescent="0.25">
      <c r="A6" s="82" t="s">
        <v>19</v>
      </c>
    </row>
    <row r="7" spans="1:2" s="7" customFormat="1" ht="205.2" customHeight="1" x14ac:dyDescent="0.25">
      <c r="A7" s="84" t="s">
        <v>18</v>
      </c>
    </row>
    <row r="8" spans="1:2" s="10" customFormat="1" ht="30" x14ac:dyDescent="0.7">
      <c r="A8" s="82" t="s">
        <v>9</v>
      </c>
    </row>
    <row r="9" spans="1:2" ht="41.4" x14ac:dyDescent="0.25">
      <c r="A9" s="83" t="s">
        <v>17</v>
      </c>
    </row>
    <row r="10" spans="1:2" s="7" customFormat="1" ht="28.2" customHeight="1" x14ac:dyDescent="0.25">
      <c r="A10" s="85" t="s">
        <v>15</v>
      </c>
    </row>
    <row r="11" spans="1:2" s="10" customFormat="1" ht="30" x14ac:dyDescent="0.7">
      <c r="A11" s="82" t="s">
        <v>6</v>
      </c>
    </row>
    <row r="12" spans="1:2" ht="27.6" x14ac:dyDescent="0.25">
      <c r="A12" s="83" t="s">
        <v>14</v>
      </c>
    </row>
    <row r="13" spans="1:2" s="7" customFormat="1" ht="28.2" customHeight="1" x14ac:dyDescent="0.25">
      <c r="A13" s="85" t="s">
        <v>2</v>
      </c>
    </row>
    <row r="14" spans="1:2" s="10" customFormat="1" ht="30" x14ac:dyDescent="0.7">
      <c r="A14" s="82" t="s">
        <v>10</v>
      </c>
    </row>
    <row r="15" spans="1:2" ht="75" customHeight="1" x14ac:dyDescent="0.25">
      <c r="A15" s="83" t="s">
        <v>11</v>
      </c>
    </row>
    <row r="16" spans="1:2" ht="69" x14ac:dyDescent="0.25">
      <c r="A16" s="83" t="s">
        <v>12</v>
      </c>
    </row>
    <row r="17" spans="1:1" x14ac:dyDescent="0.25">
      <c r="A17" s="86"/>
    </row>
    <row r="18" spans="1:1" x14ac:dyDescent="0.25">
      <c r="A18" s="86"/>
    </row>
    <row r="19" spans="1:1" x14ac:dyDescent="0.25">
      <c r="A19" s="86"/>
    </row>
    <row r="20" spans="1:1" x14ac:dyDescent="0.25">
      <c r="A20" s="86"/>
    </row>
    <row r="21" spans="1:1" x14ac:dyDescent="0.25">
      <c r="A21" s="86"/>
    </row>
    <row r="22" spans="1:1" x14ac:dyDescent="0.25">
      <c r="A22" s="86"/>
    </row>
    <row r="23" spans="1:1" x14ac:dyDescent="0.25">
      <c r="A23" s="86"/>
    </row>
    <row r="24" spans="1:1" x14ac:dyDescent="0.25">
      <c r="A24" s="86"/>
    </row>
  </sheetData>
  <hyperlinks>
    <hyperlink ref="A13" r:id="rId1" xr:uid="{00000000-0004-0000-0100-000000000000}"/>
    <hyperlink ref="A10" r:id="rId2" xr:uid="{00000000-0004-0000-0100-000001000000}"/>
    <hyperlink ref="A2" r:id="rId3" xr:uid="{00000000-0004-0000-0100-000003000000}"/>
  </hyperlinks>
  <pageMargins left="0.5" right="0.5" top="0.5" bottom="0.5" header="0.3" footer="0.3"/>
  <pageSetup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8" ma:contentTypeDescription="Create a new document." ma:contentTypeScope="" ma:versionID="60f5a4f2d2b0abadcf532d48ebf9cb71">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7dd78129e6a1811f84807ad11c65153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element ref="ns2:MediaServiceObjectDetectorVersions" minOccurs="0"/>
                <xsd:element ref="ns2: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ystemTags" ma:index="3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2239A0-E68C-493F-BEE6-C77FEA397FD6}">
  <ds:schemaRefs>
    <ds:schemaRef ds:uri="http://purl.org/dc/elements/1.1/"/>
    <ds:schemaRef ds:uri="16c05727-aa75-4e4a-9b5f-8a80a1165891"/>
    <ds:schemaRef ds:uri="http://schemas.microsoft.com/sharepoint/v3"/>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230e9df3-be65-4c73-a93b-d1236ebd677e"/>
    <ds:schemaRef ds:uri="http://schemas.microsoft.com/office/2006/metadata/properties"/>
    <ds:schemaRef ds:uri="71af3243-3dd4-4a8d-8c0d-dd76da1f02a5"/>
    <ds:schemaRef ds:uri="http://www.w3.org/XML/1998/namespace"/>
    <ds:schemaRef ds:uri="http://purl.org/dc/terms/"/>
  </ds:schemaRefs>
</ds:datastoreItem>
</file>

<file path=customXml/itemProps2.xml><?xml version="1.0" encoding="utf-8"?>
<ds:datastoreItem xmlns:ds="http://schemas.openxmlformats.org/officeDocument/2006/customXml" ds:itemID="{A09426A3-87E9-4865-8A6C-3456B026AE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245281-08F3-4104-84BD-39F3D8CFB195}">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TM16400962</Template>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12</vt:i4>
      </vt:variant>
    </vt:vector>
  </HeadingPairs>
  <TitlesOfParts>
    <vt:vector size="16" baseType="lpstr">
      <vt:lpstr>Budget items</vt:lpstr>
      <vt:lpstr>Sheet1</vt:lpstr>
      <vt:lpstr>MI&amp;E Calcs</vt:lpstr>
      <vt:lpstr>About</vt:lpstr>
      <vt:lpstr>'Budget items'!Display_Week</vt:lpstr>
      <vt:lpstr>'Budget items'!Print_Titles</vt:lpstr>
      <vt:lpstr>'Budget items'!Project_Start</vt:lpstr>
      <vt:lpstr>'Budget items'!task_end</vt:lpstr>
      <vt:lpstr>'MI&amp;E Calcs'!task_end</vt:lpstr>
      <vt:lpstr>Sheet1!task_end</vt:lpstr>
      <vt:lpstr>'Budget items'!task_progress</vt:lpstr>
      <vt:lpstr>'MI&amp;E Calcs'!task_progress</vt:lpstr>
      <vt:lpstr>Sheet1!task_progress</vt:lpstr>
      <vt:lpstr>'Budget items'!task_start</vt:lpstr>
      <vt:lpstr>'MI&amp;E Calcs'!task_start</vt:lpstr>
      <vt:lpstr>Sheet1!task_start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Jeff Edwards</dc:creator>
  <dc:description/>
  <cp:lastModifiedBy>Kerry Richards</cp:lastModifiedBy>
  <cp:lastPrinted>2026-01-30T06:18:50Z</cp:lastPrinted>
  <dcterms:created xsi:type="dcterms:W3CDTF">2022-03-11T22:41:12Z</dcterms:created>
  <dcterms:modified xsi:type="dcterms:W3CDTF">2026-01-30T07:27:32Z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y fmtid="{D5CDD505-2E9C-101B-9397-08002B2CF9AE}" pid="3" name="MediaServiceImageTags">
    <vt:lpwstr/>
  </property>
</Properties>
</file>