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joshuagreene/Library/CloudStorage/Dropbox/Mac/Downloads/"/>
    </mc:Choice>
  </mc:AlternateContent>
  <xr:revisionPtr revIDLastSave="0" documentId="13_ncr:1_{A5B75CD9-C1D6-C84C-96A0-26CFF0A17742}" xr6:coauthVersionLast="47" xr6:coauthVersionMax="47" xr10:uidLastSave="{00000000-0000-0000-0000-000000000000}"/>
  <bookViews>
    <workbookView xWindow="0" yWindow="0" windowWidth="28800" windowHeight="18000" xr2:uid="{47564A3F-45F1-40AA-AFB6-96E46A1AE82B}"/>
  </bookViews>
  <sheets>
    <sheet name="Model Guide" sheetId="3" r:id="rId1"/>
    <sheet name="Model Inputs" sheetId="5" r:id="rId2"/>
    <sheet name="THI" sheetId="9" state="hidden" r:id="rId3"/>
    <sheet name="Avg Yield per Tree" sheetId="1" state="hidden" r:id="rId4"/>
    <sheet name="Model Results" sheetId="8" r:id="rId5"/>
    <sheet name="Resources" sheetId="6" r:id="rId6"/>
  </sheets>
  <definedNames>
    <definedName name="_xlnm._FilterDatabase" localSheetId="0" hidden="1">'Model Guide'!$U$4:$V$8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8" l="1"/>
  <c r="F20" i="8"/>
  <c r="E20" i="8"/>
  <c r="D20" i="8"/>
  <c r="G19" i="8"/>
  <c r="F19" i="8"/>
  <c r="E19" i="8"/>
  <c r="D19" i="8"/>
  <c r="F17" i="5" l="1"/>
  <c r="D21" i="8" l="1"/>
  <c r="G21" i="8"/>
  <c r="F21" i="8"/>
  <c r="E21" i="8"/>
  <c r="U8" i="1"/>
  <c r="W22" i="8" s="1"/>
  <c r="U7" i="1"/>
  <c r="W21" i="8" s="1"/>
  <c r="U6" i="1"/>
  <c r="W20" i="8" s="1"/>
  <c r="U5" i="1"/>
  <c r="W19" i="8" s="1"/>
  <c r="U4" i="1"/>
  <c r="W18" i="8" s="1"/>
  <c r="H22" i="8"/>
  <c r="G22" i="8"/>
  <c r="F22" i="8"/>
  <c r="E22" i="8"/>
  <c r="D22" i="8"/>
  <c r="D18" i="8"/>
  <c r="E15" i="8"/>
  <c r="F15" i="8" s="1"/>
  <c r="G15" i="8" s="1"/>
  <c r="H15" i="8" s="1"/>
  <c r="I15" i="8" s="1"/>
  <c r="J15" i="8" s="1"/>
  <c r="K15" i="8" s="1"/>
  <c r="L15" i="8" s="1"/>
  <c r="M15" i="8" s="1"/>
  <c r="N15" i="8" s="1"/>
  <c r="O15" i="8" s="1"/>
  <c r="P15" i="8" s="1"/>
  <c r="Q15" i="8" s="1"/>
  <c r="R15" i="8" s="1"/>
  <c r="S15" i="8" s="1"/>
  <c r="T15" i="8" s="1"/>
  <c r="U15" i="8" s="1"/>
  <c r="V15" i="8" s="1"/>
  <c r="W15" i="8" s="1"/>
  <c r="F50" i="5"/>
  <c r="F51" i="5" l="1"/>
  <c r="F54" i="5" s="1"/>
  <c r="E16" i="8"/>
  <c r="F16" i="8" s="1"/>
  <c r="G16" i="8" s="1"/>
  <c r="H16" i="8" s="1"/>
  <c r="E18" i="8"/>
  <c r="F18" i="8"/>
  <c r="G18" i="8"/>
  <c r="F13" i="5"/>
  <c r="O23" i="8" l="1"/>
  <c r="F23" i="8"/>
  <c r="Q23" i="8"/>
  <c r="V23" i="8"/>
  <c r="G23" i="8"/>
  <c r="G25" i="8" s="1"/>
  <c r="H23" i="8"/>
  <c r="U23" i="8"/>
  <c r="W23" i="8"/>
  <c r="W25" i="8" s="1"/>
  <c r="R23" i="8"/>
  <c r="D23" i="8"/>
  <c r="D32" i="8" s="1"/>
  <c r="T23" i="8"/>
  <c r="I23" i="8"/>
  <c r="L23" i="8"/>
  <c r="P23" i="8"/>
  <c r="E23" i="8"/>
  <c r="E25" i="8" s="1"/>
  <c r="J23" i="8"/>
  <c r="N23" i="8"/>
  <c r="S23" i="8"/>
  <c r="K23" i="8"/>
  <c r="M23" i="8"/>
  <c r="G32" i="8" l="1"/>
  <c r="F32" i="8"/>
  <c r="E32" i="8"/>
  <c r="F40" i="5"/>
  <c r="F31" i="5"/>
  <c r="D16" i="8" l="1"/>
  <c r="F17" i="8" s="1"/>
  <c r="Q33" i="8" s="1"/>
  <c r="D25" i="8" l="1"/>
  <c r="E31" i="8" s="1"/>
  <c r="G33" i="8"/>
  <c r="F34" i="8" s="1"/>
  <c r="L33" i="8"/>
  <c r="D33" i="8"/>
  <c r="V33" i="8"/>
  <c r="D5" i="8"/>
  <c r="O33" i="8"/>
  <c r="M33" i="8"/>
  <c r="E33" i="8"/>
  <c r="D34" i="8" s="1"/>
  <c r="T33" i="8"/>
  <c r="I33" i="8"/>
  <c r="W33" i="8"/>
  <c r="J33" i="8"/>
  <c r="U33" i="8"/>
  <c r="H33" i="8"/>
  <c r="R33" i="8"/>
  <c r="P33" i="8"/>
  <c r="K33" i="8"/>
  <c r="F33" i="8"/>
  <c r="E34" i="8" s="1"/>
  <c r="S33" i="8"/>
  <c r="N33" i="8"/>
  <c r="F25" i="8"/>
  <c r="D31" i="8" l="1"/>
  <c r="G31" i="8"/>
  <c r="F31" i="8"/>
  <c r="T7" i="1" l="1"/>
  <c r="V21" i="8" s="1"/>
  <c r="S7" i="1"/>
  <c r="U21" i="8" s="1"/>
  <c r="R7" i="1"/>
  <c r="T21" i="8" s="1"/>
  <c r="Q7" i="1"/>
  <c r="S21" i="8" s="1"/>
  <c r="P7" i="1"/>
  <c r="R21" i="8" s="1"/>
  <c r="O7" i="1"/>
  <c r="Q21" i="8" s="1"/>
  <c r="N7" i="1"/>
  <c r="P21" i="8" s="1"/>
  <c r="M7" i="1"/>
  <c r="O21" i="8" s="1"/>
  <c r="L7" i="1"/>
  <c r="N21" i="8" s="1"/>
  <c r="K7" i="1"/>
  <c r="M21" i="8" s="1"/>
  <c r="J7" i="1"/>
  <c r="L21" i="8" s="1"/>
  <c r="I7" i="1"/>
  <c r="K21" i="8" s="1"/>
  <c r="H7" i="1"/>
  <c r="J21" i="8" s="1"/>
  <c r="G7" i="1"/>
  <c r="I21" i="8" s="1"/>
  <c r="F7" i="1"/>
  <c r="H21" i="8" s="1"/>
  <c r="T6" i="1"/>
  <c r="V20" i="8" s="1"/>
  <c r="S6" i="1"/>
  <c r="U20" i="8" s="1"/>
  <c r="R6" i="1"/>
  <c r="T20" i="8" s="1"/>
  <c r="Q6" i="1"/>
  <c r="S20" i="8" s="1"/>
  <c r="P6" i="1"/>
  <c r="R20" i="8" s="1"/>
  <c r="O6" i="1"/>
  <c r="Q20" i="8" s="1"/>
  <c r="N6" i="1"/>
  <c r="P20" i="8" s="1"/>
  <c r="M6" i="1"/>
  <c r="O20" i="8" s="1"/>
  <c r="L6" i="1"/>
  <c r="N20" i="8" s="1"/>
  <c r="K6" i="1"/>
  <c r="M20" i="8" s="1"/>
  <c r="J6" i="1"/>
  <c r="L20" i="8" s="1"/>
  <c r="I6" i="1"/>
  <c r="K20" i="8" s="1"/>
  <c r="H6" i="1"/>
  <c r="J20" i="8" s="1"/>
  <c r="G6" i="1"/>
  <c r="I20" i="8" s="1"/>
  <c r="F6" i="1"/>
  <c r="H20" i="8" s="1"/>
  <c r="T5" i="1"/>
  <c r="V19" i="8" s="1"/>
  <c r="S5" i="1"/>
  <c r="U19" i="8" s="1"/>
  <c r="R5" i="1"/>
  <c r="T19" i="8" s="1"/>
  <c r="Q5" i="1"/>
  <c r="S19" i="8" s="1"/>
  <c r="P5" i="1"/>
  <c r="R19" i="8" s="1"/>
  <c r="O5" i="1"/>
  <c r="Q19" i="8" s="1"/>
  <c r="N5" i="1"/>
  <c r="P19" i="8" s="1"/>
  <c r="M5" i="1"/>
  <c r="O19" i="8" s="1"/>
  <c r="L5" i="1"/>
  <c r="N19" i="8" s="1"/>
  <c r="K5" i="1"/>
  <c r="M19" i="8" s="1"/>
  <c r="J5" i="1"/>
  <c r="L19" i="8" s="1"/>
  <c r="I5" i="1"/>
  <c r="K19" i="8" s="1"/>
  <c r="H5" i="1"/>
  <c r="J19" i="8" s="1"/>
  <c r="G5" i="1"/>
  <c r="I19" i="8" s="1"/>
  <c r="F5" i="1"/>
  <c r="H19" i="8" s="1"/>
  <c r="T4" i="1"/>
  <c r="V18" i="8" s="1"/>
  <c r="S4" i="1"/>
  <c r="U18" i="8" s="1"/>
  <c r="R4" i="1"/>
  <c r="T18" i="8" s="1"/>
  <c r="Q4" i="1"/>
  <c r="S18" i="8" s="1"/>
  <c r="P4" i="1"/>
  <c r="R18" i="8" s="1"/>
  <c r="O4" i="1"/>
  <c r="Q18" i="8" s="1"/>
  <c r="N4" i="1"/>
  <c r="P18" i="8" s="1"/>
  <c r="M4" i="1"/>
  <c r="O18" i="8" s="1"/>
  <c r="L4" i="1"/>
  <c r="N18" i="8" s="1"/>
  <c r="K4" i="1"/>
  <c r="M18" i="8" s="1"/>
  <c r="J4" i="1"/>
  <c r="L18" i="8" s="1"/>
  <c r="I4" i="1"/>
  <c r="K18" i="8" s="1"/>
  <c r="H4" i="1"/>
  <c r="J18" i="8" s="1"/>
  <c r="G4" i="1"/>
  <c r="I18" i="8" s="1"/>
  <c r="F4" i="1"/>
  <c r="H18" i="8" s="1"/>
  <c r="H25" i="8" l="1"/>
  <c r="H31" i="8" s="1"/>
  <c r="J5" i="8"/>
  <c r="J7" i="8"/>
  <c r="J8" i="8"/>
  <c r="H32" i="8"/>
  <c r="G34" i="8" s="1"/>
  <c r="T8" i="1"/>
  <c r="V22" i="8" s="1"/>
  <c r="V25" i="8" s="1"/>
  <c r="S8" i="1"/>
  <c r="U22" i="8" s="1"/>
  <c r="U25" i="8" s="1"/>
  <c r="R8" i="1"/>
  <c r="T22" i="8" s="1"/>
  <c r="T25" i="8" s="1"/>
  <c r="Q8" i="1"/>
  <c r="S22" i="8" s="1"/>
  <c r="S25" i="8" s="1"/>
  <c r="P8" i="1"/>
  <c r="R22" i="8" s="1"/>
  <c r="R25" i="8" s="1"/>
  <c r="O8" i="1"/>
  <c r="Q22" i="8" s="1"/>
  <c r="Q25" i="8" s="1"/>
  <c r="N8" i="1"/>
  <c r="P22" i="8" s="1"/>
  <c r="P25" i="8" s="1"/>
  <c r="M8" i="1"/>
  <c r="O22" i="8" s="1"/>
  <c r="O25" i="8" s="1"/>
  <c r="L8" i="1"/>
  <c r="N22" i="8" s="1"/>
  <c r="N25" i="8" s="1"/>
  <c r="K8" i="1"/>
  <c r="M22" i="8" s="1"/>
  <c r="M25" i="8" s="1"/>
  <c r="J8" i="1"/>
  <c r="L22" i="8" s="1"/>
  <c r="L25" i="8" s="1"/>
  <c r="I8" i="1"/>
  <c r="K22" i="8" s="1"/>
  <c r="K25" i="8" s="1"/>
  <c r="H8" i="1"/>
  <c r="J22" i="8" s="1"/>
  <c r="J25" i="8" s="1"/>
  <c r="G8" i="1"/>
  <c r="I22" i="8" s="1"/>
  <c r="D10" i="8" l="1"/>
  <c r="D9" i="8"/>
  <c r="J6" i="8"/>
  <c r="J9" i="8"/>
  <c r="R32" i="8"/>
  <c r="V32" i="8"/>
  <c r="P32" i="8"/>
  <c r="I25" i="8"/>
  <c r="D8" i="8" s="1"/>
  <c r="O32" i="8"/>
  <c r="M32" i="8"/>
  <c r="L32" i="8"/>
  <c r="U32" i="8"/>
  <c r="N32" i="8"/>
  <c r="J32" i="8"/>
  <c r="I32" i="8"/>
  <c r="K32" i="8"/>
  <c r="T32" i="8"/>
  <c r="Q32" i="8"/>
  <c r="W32" i="8"/>
  <c r="W34" i="8" s="1"/>
  <c r="S32" i="8"/>
  <c r="L34" i="8" l="1"/>
  <c r="Q34" i="8"/>
  <c r="O34" i="8"/>
  <c r="U34" i="8"/>
  <c r="J34" i="8"/>
  <c r="U31" i="8"/>
  <c r="N31" i="8"/>
  <c r="L31" i="8"/>
  <c r="P31" i="8"/>
  <c r="W31" i="8"/>
  <c r="V31" i="8"/>
  <c r="O31" i="8"/>
  <c r="J31" i="8"/>
  <c r="T31" i="8"/>
  <c r="M31" i="8"/>
  <c r="I31" i="8"/>
  <c r="Q31" i="8"/>
  <c r="R31" i="8"/>
  <c r="S31" i="8"/>
  <c r="D6" i="8"/>
  <c r="K31" i="8"/>
  <c r="T34" i="8"/>
  <c r="S34" i="8"/>
  <c r="M34" i="8"/>
  <c r="N34" i="8"/>
  <c r="P34" i="8"/>
  <c r="K34" i="8"/>
  <c r="I34" i="8"/>
  <c r="H34" i="8"/>
  <c r="V34" i="8"/>
  <c r="R34" i="8"/>
  <c r="D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Austin Unruh</author>
    <author>tc={031442E3-F9BB-4C8E-A42E-E60CCDA9616E}</author>
  </authors>
  <commentList>
    <comment ref="A4" authorId="0" shapeId="0" xr:uid="{31C32A0D-DC36-4BD9-8062-C46FF0E2E1C4}">
      <text>
        <r>
          <rPr>
            <b/>
            <sz val="9"/>
            <color indexed="81"/>
            <rFont val="Tahoma"/>
            <family val="2"/>
          </rPr>
          <t>Austin Unruh:</t>
        </r>
        <r>
          <rPr>
            <sz val="9"/>
            <color indexed="81"/>
            <rFont val="Tahoma"/>
            <family val="2"/>
          </rPr>
          <t xml:space="preserve">
Pod Yield Data based on data from AA Wilson, 1991.
https://pubs.cif-ifc.org/doi/pdf/10.5558/tfc67232-3
</t>
        </r>
      </text>
    </comment>
    <comment ref="G8" authorId="1" shapeId="0" xr:uid="{031442E3-F9BB-4C8E-A42E-E60CCDA9616E}">
      <text>
        <t>[Threaded comment]
Your version of Excel allows you to read this threaded comment; however, any edits to it will get removed if the file is opened in a newer version of Excel. Learn more: https://go.microsoft.com/fwlink/?linkid=870924
Comment:
    Assume the trees won't reach full capacity until age 11</t>
      </text>
    </comment>
  </commentList>
</comments>
</file>

<file path=xl/sharedStrings.xml><?xml version="1.0" encoding="utf-8"?>
<sst xmlns="http://schemas.openxmlformats.org/spreadsheetml/2006/main" count="280" uniqueCount="218">
  <si>
    <t>Tree Density</t>
  </si>
  <si>
    <t>Trees/acre</t>
  </si>
  <si>
    <t>Yield Assumption</t>
  </si>
  <si>
    <t>Tree</t>
  </si>
  <si>
    <t>Shelter</t>
  </si>
  <si>
    <t>Install</t>
  </si>
  <si>
    <t>Tree Species Composition</t>
  </si>
  <si>
    <t>Annual Aftercare</t>
  </si>
  <si>
    <t>Year 1</t>
  </si>
  <si>
    <t>Avg Yield, lbs, per tree (honey locust)</t>
  </si>
  <si>
    <t>IRR</t>
  </si>
  <si>
    <t>Avg Yield, cow days, per tree</t>
  </si>
  <si>
    <t>Replant Costs</t>
  </si>
  <si>
    <t>Model Inputs</t>
  </si>
  <si>
    <t>Model Guide</t>
  </si>
  <si>
    <t>Purpose</t>
  </si>
  <si>
    <t>This model is a tool for researching the viability of silvopasture practices according to your context.</t>
  </si>
  <si>
    <t>Guidance and recommendations can be found next to each input according to the following table</t>
  </si>
  <si>
    <t>Rec.</t>
  </si>
  <si>
    <t>Low</t>
  </si>
  <si>
    <t>High</t>
  </si>
  <si>
    <t>-------&gt;</t>
  </si>
  <si>
    <t>Model Results</t>
  </si>
  <si>
    <t>This model will estimate the expected return on a per acre basis for implementing silvopasture practices based on the inputs entered.</t>
  </si>
  <si>
    <t>Lbs per Tree/Yr</t>
  </si>
  <si>
    <t>Honey Locust</t>
  </si>
  <si>
    <t>Mulberry</t>
  </si>
  <si>
    <t>Persimmon</t>
  </si>
  <si>
    <t>Avg Yield, lbs, per tree (mulberry)</t>
  </si>
  <si>
    <t>Avg Yield, lbs, per tree (persimmon)</t>
  </si>
  <si>
    <t>Avg Yield, lbs, per tree (other monogastric)</t>
  </si>
  <si>
    <t>Guidance</t>
  </si>
  <si>
    <t>These trees tend to be used for fast shade. If you do not intend to use these fast growing shade trees for fodder, use 0</t>
  </si>
  <si>
    <t>Cow Days per Tree/Yr</t>
  </si>
  <si>
    <t>%</t>
  </si>
  <si>
    <t>$/Lb</t>
  </si>
  <si>
    <t>Hay Cost Comparison</t>
  </si>
  <si>
    <t>$/Cow Day</t>
  </si>
  <si>
    <t>Planting &amp; Maintenance Costs per Tree</t>
  </si>
  <si>
    <t>$/Tree</t>
  </si>
  <si>
    <t>Mast Tree Costs</t>
  </si>
  <si>
    <t>Density</t>
  </si>
  <si>
    <t>Percent Paid by Farmer</t>
  </si>
  <si>
    <t>Total Planting Cost</t>
  </si>
  <si>
    <t>Temperatute-Humidity Index Load</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</si>
  <si>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</si>
  <si>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</si>
  <si>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</si>
  <si>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</si>
  <si>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</si>
  <si>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</si>
  <si>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</si>
  <si>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</si>
  <si>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</si>
  <si>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</si>
  <si>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</si>
  <si>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</si>
  <si>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</si>
  <si>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</si>
  <si>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</si>
  <si>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</si>
  <si>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</si>
  <si>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</si>
  <si>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</si>
  <si>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</si>
  <si>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</si>
  <si>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</si>
  <si>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</si>
  <si>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</si>
  <si>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</si>
  <si>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</si>
  <si>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</si>
  <si>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</si>
  <si>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</si>
  <si>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</si>
  <si>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NY</t>
  </si>
  <si>
    <t>OH</t>
  </si>
  <si>
    <t>OK</t>
  </si>
  <si>
    <t>OR</t>
  </si>
  <si>
    <t>PA</t>
  </si>
  <si>
    <t>RI</t>
  </si>
  <si>
    <t>SC</t>
  </si>
  <si>
    <t>SD</t>
  </si>
  <si>
    <t>TN</t>
  </si>
  <si>
    <t>TX</t>
  </si>
  <si>
    <t>UT</t>
  </si>
  <si>
    <t>VA</t>
  </si>
  <si>
    <t>VT</t>
  </si>
  <si>
    <t>WA</t>
  </si>
  <si>
    <t>WI</t>
  </si>
  <si>
    <t>WV</t>
  </si>
  <si>
    <t>WY</t>
  </si>
  <si>
    <t>THI Load</t>
  </si>
  <si>
    <t>State</t>
  </si>
  <si>
    <t>Units/Yr</t>
  </si>
  <si>
    <t>Select a State</t>
  </si>
  <si>
    <t>Lbs/Yr</t>
  </si>
  <si>
    <t>Land Carrying Capacity</t>
  </si>
  <si>
    <t>Estimated Value Creation</t>
  </si>
  <si>
    <t>Case Study</t>
  </si>
  <si>
    <t>% of Planted</t>
  </si>
  <si>
    <t>All Tree Mortality Assumption</t>
  </si>
  <si>
    <t>Category</t>
  </si>
  <si>
    <t>Metric</t>
  </si>
  <si>
    <t>Input Value</t>
  </si>
  <si>
    <t>Input</t>
  </si>
  <si>
    <t>% of Total Trees</t>
  </si>
  <si>
    <t>Estimated Feed Savings</t>
  </si>
  <si>
    <t>Heat Stress Value Creation</t>
  </si>
  <si>
    <t>High end is representative for organic dairy</t>
  </si>
  <si>
    <t>Rec. - Plantra Bulk Pricing;   Low - No Shelter;   High - Retail Pricing</t>
  </si>
  <si>
    <t>Rec. - Grafted (Wholesale);   Low - Seedling (wholesale);   High - Grafted (Retail)</t>
  </si>
  <si>
    <t>Density higher than 100/acre can be achieved with higher proportion of fodder trees</t>
  </si>
  <si>
    <t>Model assume shade is 0% effective years 0-3, 50% effective years 4-6, and 100% effective years 7+</t>
  </si>
  <si>
    <t>Value of Mulberry Feed/Acre</t>
  </si>
  <si>
    <t>Value of Persimmon Feed/Acre</t>
  </si>
  <si>
    <t>Value of Other Monogastric Feed/Acre</t>
  </si>
  <si>
    <t>Year</t>
  </si>
  <si>
    <t>Value of Weight Gain Due to Lower Heat Stress</t>
  </si>
  <si>
    <t>Value of Honey Locust Feed/Acre</t>
  </si>
  <si>
    <t>Cash Flow per Acre</t>
  </si>
  <si>
    <t>1-5 Years</t>
  </si>
  <si>
    <t>6-10 Years</t>
  </si>
  <si>
    <t>11-15 Years</t>
  </si>
  <si>
    <t>16-20 Years</t>
  </si>
  <si>
    <t>Total Feed Costs Avoided per Acre</t>
  </si>
  <si>
    <t>Feed Costs Avoided per Acre</t>
  </si>
  <si>
    <t>Silvopasture Return</t>
  </si>
  <si>
    <t>Cash Flow per Acre Model</t>
  </si>
  <si>
    <t>Counter</t>
  </si>
  <si>
    <t>Cummulative Positive Cash Flows</t>
  </si>
  <si>
    <t>Total Project Costs</t>
  </si>
  <si>
    <t>Partial Year Calculator</t>
  </si>
  <si>
    <t>Total Project Cost per Acre</t>
  </si>
  <si>
    <t>ROI (@ yr 10)</t>
  </si>
  <si>
    <t>Total Project Profit per Acre (@ yr 10)</t>
  </si>
  <si>
    <t>Mast Tree</t>
  </si>
  <si>
    <t>Fodder Tree</t>
  </si>
  <si>
    <t>Temperature Humidity Index Load</t>
  </si>
  <si>
    <t>Number to be input by model user</t>
  </si>
  <si>
    <t>Formatting Key</t>
  </si>
  <si>
    <t>Auto-calculated value</t>
  </si>
  <si>
    <t>Input recommended value</t>
  </si>
  <si>
    <t>Dropdown selection</t>
  </si>
  <si>
    <t>Input Key</t>
  </si>
  <si>
    <t>See the "Model Inputs" tab for additional instructions.</t>
  </si>
  <si>
    <t>Input value chosen by you</t>
  </si>
  <si>
    <t>Recommendations &amp; Guidance</t>
  </si>
  <si>
    <t>Resources</t>
  </si>
  <si>
    <t>Resources &amp; Definitions</t>
  </si>
  <si>
    <t>Additional resources are provided on the "Resources" tab.</t>
  </si>
  <si>
    <t>Important terminology definitions and commentary are provided on the "Resources" tab</t>
  </si>
  <si>
    <t>Enter and select the inputs that best meet your expected silvopasture operation on the "Model Inputs" tab.</t>
  </si>
  <si>
    <t>Term</t>
  </si>
  <si>
    <t>Definition</t>
  </si>
  <si>
    <t>Helpful Commentary</t>
  </si>
  <si>
    <t>Labor cost can vary widely, largely dependng on how much labor you do yourself</t>
  </si>
  <si>
    <t>TFG</t>
  </si>
  <si>
    <t>All Tree Mortality</t>
  </si>
  <si>
    <t>Leaf Fodder/Shade Tree</t>
  </si>
  <si>
    <t>Value of Leaf Fodder/Shade Feed/Acre</t>
  </si>
  <si>
    <t xml:space="preserve">For example - Oak, Hickory, Apples, Pears, etc. </t>
  </si>
  <si>
    <t>For ruminants, we recommend a higher proportion of Honey Locusts</t>
  </si>
  <si>
    <t>For monogastric livestock, we recommend a higher proportion of Mulberry</t>
  </si>
  <si>
    <t>Persimmons are recommended as a significant portion for both ruminant and monogastric livestock</t>
  </si>
  <si>
    <t>Planting &amp; Aftercare Costs</t>
  </si>
  <si>
    <t>Fodder/Shade Tree Costs</t>
  </si>
  <si>
    <t>The better the plan, execution, and aftercare - the lower the mortality will be</t>
  </si>
  <si>
    <t>Rec. - Non-GMO;   Low - Conventional;   High - Organic small batch (no corn/no soy)</t>
  </si>
  <si>
    <t>Estimated Additional Pounds of Gain</t>
  </si>
  <si>
    <t>AU = Animal unit which is equivalent to 1,000lbs of livestock</t>
  </si>
  <si>
    <t>Livestock Sales Price - Live Weight</t>
  </si>
  <si>
    <t>AU/Acre</t>
  </si>
  <si>
    <t>Breakeven Period (Yrs)</t>
  </si>
  <si>
    <t>Value</t>
  </si>
  <si>
    <t>ROI (@ yr 20)</t>
  </si>
  <si>
    <t>Trees For Graziers - Silvopasture Model</t>
  </si>
  <si>
    <t>Guidance and recommendations are provided based on silvopasture research and in-field experience gathered by Trees For Graziers.</t>
  </si>
  <si>
    <t>The Recommended column gives the baseline value for that input based on Trees For Graziers research and experience</t>
  </si>
  <si>
    <t>The Low column gives the low end range value for that input based on Trees For Graziers research and experience</t>
  </si>
  <si>
    <t>The High column gives the high end range value for that input based on Trees For Graziers research and experience</t>
  </si>
  <si>
    <t>Trees For Graziers</t>
  </si>
  <si>
    <t>Next Steps</t>
  </si>
  <si>
    <t>Ruminant feed; Lbs are in lbs of dry matter</t>
  </si>
  <si>
    <t>Monogastric feed; Lbs are in lbs of dry matter</t>
  </si>
  <si>
    <t>Annual aftercare costs per tree for first 5 years. Aftercare needed for success, costs vary by how much you do yourself</t>
  </si>
  <si>
    <t>Ready to get started! Please reach out to Trees For Graziers at the link below.</t>
  </si>
  <si>
    <t>Reach out here! - Link</t>
  </si>
  <si>
    <t>Feed Cost Comparison</t>
  </si>
  <si>
    <t>This refers to percentage of trees planted that are estimated to die</t>
  </si>
  <si>
    <t>We recommend checking each tree twice a year for 4-5 years. Labor represents the bulk of cost</t>
  </si>
  <si>
    <t>Fast growing trees used for shade and/or leaf fodder, such as willow, poplar, mulberry and black locust</t>
  </si>
  <si>
    <t>The species we tend to recommend most highly for ruminants. Winter energy supplement, N-fixer, and dappled canopy</t>
  </si>
  <si>
    <t>Trees that produce nutrient dense livestock feed such as Honey Locust, Mulberry, Persimmon</t>
  </si>
  <si>
    <t>Highly recommended for pigs and poultry especially. Both fruits and leaves are valuable</t>
  </si>
  <si>
    <t>Highly recommended for ruminants and monogastrics</t>
  </si>
  <si>
    <t>Other trees that produce feed for monogastric animals (pigs and poultry) such as oaks, hickories, apples, etc.</t>
  </si>
  <si>
    <t>An estimate of the negative effect of temperature and humidity on livestock</t>
  </si>
  <si>
    <t>Review your silvopasture return based on your inputs on the "Model Results" tab.</t>
  </si>
  <si>
    <t>Recommended value for Input</t>
  </si>
  <si>
    <t>Notes</t>
  </si>
  <si>
    <t>- Record your own notes for</t>
  </si>
  <si>
    <t xml:space="preserve">   each Input here</t>
  </si>
  <si>
    <t>Tree Costs</t>
  </si>
  <si>
    <t xml:space="preserve">Conservation-grade seedlings range from $.50-5/piece. Seedlings from selected, high-yielding parent stock tend to range from $4-10. Grafted stock tends to be in the $30 range. </t>
  </si>
  <si>
    <t>Honey locust pods are often compared to corn in nutrituional value. Hence, value of pods is approximated via the value of a pound of corn feed. For pig or poultry feed, it's likely best to use rates for ground feed mixes, as that's what's being offset</t>
  </si>
  <si>
    <t>Based on work from the University of Kentucky where steers gained an additional .89 pounds when provided shade, during a relatively cool period from May 7-June 3. TFG multiplied that by 150, or the number of days assumed that the THI was at or above those in the research conditions. That delivered 133.5 pounds of additional gain per year. Then TFG tied those numbers to the average THI in Kentucky. This allows the model to be adjusted to the THI of any state.</t>
  </si>
  <si>
    <t>Other Trees for Monogastrics</t>
  </si>
  <si>
    <t>Model has been developed for beef cattle. Results will vary with livestock type</t>
  </si>
  <si>
    <t>$/Acre/Yr</t>
  </si>
  <si>
    <t>Data is pre-2003; If you think your current context is not well reflected, select state whose value aligns better</t>
  </si>
  <si>
    <t>Pricing highly species dependent</t>
  </si>
  <si>
    <t>Pg E65</t>
  </si>
  <si>
    <t>NV</t>
  </si>
  <si>
    <t>Link</t>
  </si>
  <si>
    <t>Kentucky Study on Heat Stress. Final Study in Paper</t>
  </si>
  <si>
    <t>Source for THI Loads. Page E65</t>
  </si>
  <si>
    <t>Heat Stress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</si>
</sst>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2" formatCode="_(&quot;$&quot;* #,##0_);_(&quot;$&quot;* \(#,##0\);_(&quot;$&quot;* &quot;-&quot;_);_(@_)"/>
    <numFmt numFmtId="44" formatCode="_(&quot;$&quot;* #,##0.00_);_(&quot;$&quot;* \(#,##0.00\);_(&quot;$&quot;* &quot;-&quot;??_);_(@_)"/>
    <numFmt numFmtId="164" formatCode="0.0"/>
    <numFmt numFmtId="165" formatCode="#,##0;\-#,##0;&quot;-&quot;"/>
    <numFmt numFmtId="166" formatCode="0%;\-0%;&quot;-&quot;"/>
    <numFmt numFmtId="167" formatCode="#,##0.0;\-#,##0.0;&quot;-&quot;"/>
    <numFmt numFmtId="168" formatCode="#,##0_);[Red]\(#,##0\);&quot;-&quot;"/>
    <numFmt numFmtId="169" formatCode="#,##0.0_);[Red]\(#,##0.0\);&quot;-&quot;"/>
    <numFmt numFmtId="170" formatCode="&quot;$&quot;#,##0;\-&quot;$&quot;#,##0;&quot;-&quot;"/>
  </numFmts>
  <fonts count="44" x14ac:knownFonts="1">
    <font>
      <sz val="11"/>
      <color theme="1"/>
      <name val="Arial"/>
    </font>
    <font>
      <b/>
      <sz val="11"/>
      <color rgb="FF3F3F3F"/>
      <name val="Aptos Narrow"/>
      <family val="2"/>
      <scheme val="minor"/>
    </font>
    <font>
      <sz val="11"/>
      <color theme="1"/>
      <name val="Arial"/>
      <family val="2"/>
    </font>
    <font>
      <sz val="11"/>
      <color theme="1"/>
      <name val="Arial Narrow"/>
      <family val="2"/>
    </font>
    <font>
      <u/>
      <sz val="11"/>
      <color theme="10"/>
      <name val="Arial"/>
      <family val="2"/>
    </font>
    <font>
      <b/>
      <sz val="9"/>
      <color indexed="81"/>
      <name val="Tahoma"/>
      <family val="2"/>
    </font>
    <font>
      <sz val="9"/>
      <color indexed="81"/>
      <name val="Tahoma"/>
      <family val="2"/>
    </font>
    <font>
      <b/>
      <sz val="18"/>
      <color theme="0"/>
      <name val="Aptos Display"/>
      <family val="2"/>
      <scheme val="major"/>
    </font>
    <font>
      <sz val="11"/>
      <color theme="1"/>
      <name val="Aptos Display"/>
      <family val="2"/>
      <scheme val="major"/>
    </font>
    <font>
      <sz val="11"/>
      <color theme="0" tint="-0.499984740745262"/>
      <name val="Aptos Display"/>
      <family val="2"/>
      <scheme val="major"/>
    </font>
    <font>
      <b/>
      <sz val="12"/>
      <color theme="0"/>
      <name val="Aptos Display"/>
      <family val="2"/>
      <scheme val="major"/>
    </font>
    <font>
      <b/>
      <sz val="11"/>
      <color theme="0"/>
      <name val="Aptos Display"/>
      <family val="2"/>
      <scheme val="major"/>
    </font>
    <font>
      <sz val="11"/>
      <color theme="0"/>
      <name val="Aptos Display"/>
      <family val="2"/>
      <scheme val="major"/>
    </font>
    <font>
      <b/>
      <sz val="11"/>
      <color theme="1"/>
      <name val="Aptos Display"/>
      <family val="2"/>
      <scheme val="major"/>
    </font>
    <font>
      <sz val="12"/>
      <color theme="1"/>
      <name val="Aptos Display"/>
      <family val="2"/>
      <scheme val="major"/>
    </font>
    <font>
      <b/>
      <sz val="12"/>
      <color theme="1"/>
      <name val="Aptos Display"/>
      <family val="2"/>
      <scheme val="major"/>
    </font>
    <font>
      <b/>
      <u/>
      <sz val="12"/>
      <color theme="1"/>
      <name val="Aptos Display"/>
      <family val="2"/>
      <scheme val="major"/>
    </font>
    <font>
      <b/>
      <sz val="20"/>
      <color theme="0"/>
      <name val="Aptos Display"/>
      <family val="2"/>
      <scheme val="major"/>
    </font>
    <font>
      <b/>
      <sz val="14"/>
      <color theme="0"/>
      <name val="Aptos Display"/>
      <family val="2"/>
      <scheme val="major"/>
    </font>
    <font>
      <sz val="14"/>
      <color theme="1"/>
      <name val="Aptos Display"/>
      <family val="2"/>
      <scheme val="major"/>
    </font>
    <font>
      <b/>
      <sz val="14"/>
      <color theme="1"/>
      <name val="Aptos Display"/>
      <family val="2"/>
      <scheme val="major"/>
    </font>
    <font>
      <i/>
      <sz val="12"/>
      <color theme="1"/>
      <name val="Aptos Display"/>
      <family val="2"/>
      <scheme val="major"/>
    </font>
    <font>
      <sz val="12"/>
      <color rgb="FF0000FF"/>
      <name val="Aptos Display"/>
      <family val="2"/>
      <scheme val="major"/>
    </font>
    <font>
      <sz val="12"/>
      <color theme="0"/>
      <name val="Aptos Display"/>
      <family val="2"/>
      <scheme val="major"/>
    </font>
    <font>
      <b/>
      <i/>
      <sz val="12"/>
      <color theme="0"/>
      <name val="Aptos Display"/>
      <family val="2"/>
      <scheme val="major"/>
    </font>
    <font>
      <i/>
      <sz val="12"/>
      <color theme="0"/>
      <name val="Aptos Display"/>
      <family val="2"/>
      <scheme val="major"/>
    </font>
    <font>
      <u/>
      <sz val="11"/>
      <color theme="10"/>
      <name val="Aptos Display"/>
      <family val="2"/>
      <scheme val="major"/>
    </font>
    <font>
      <sz val="11"/>
      <color rgb="FF3F3F76"/>
      <name val="Aptos Display"/>
      <family val="2"/>
      <scheme val="major"/>
    </font>
    <font>
      <i/>
      <sz val="11"/>
      <color theme="1"/>
      <name val="Aptos Display"/>
      <family val="2"/>
      <scheme val="major"/>
    </font>
    <font>
      <sz val="11"/>
      <color theme="2" tint="-0.499984740745262"/>
      <name val="Aptos Display"/>
      <family val="2"/>
      <scheme val="major"/>
    </font>
    <font>
      <i/>
      <sz val="11"/>
      <color theme="2" tint="-0.499984740745262"/>
      <name val="Aptos Display"/>
      <family val="2"/>
      <scheme val="major"/>
    </font>
    <font>
      <sz val="12"/>
      <color rgb="FFFF0000"/>
      <name val="Aptos Display"/>
      <family val="2"/>
      <scheme val="major"/>
    </font>
    <font>
      <sz val="11"/>
      <color rgb="FF696969"/>
      <name val="Aptos Display"/>
      <family val="2"/>
      <scheme val="major"/>
    </font>
    <font>
      <sz val="12"/>
      <color rgb="FF696969"/>
      <name val="Aptos Display"/>
      <family val="2"/>
      <scheme val="major"/>
    </font>
    <font>
      <b/>
      <sz val="12"/>
      <color rgb="FF696969"/>
      <name val="Aptos Display"/>
      <family val="2"/>
      <scheme val="major"/>
    </font>
    <font>
      <b/>
      <sz val="11"/>
      <color rgb="FFFF0000"/>
      <name val="Aptos Display"/>
      <family val="2"/>
      <scheme val="major"/>
    </font>
    <font>
      <b/>
      <sz val="12"/>
      <color rgb="FF3F3F3F"/>
      <name val="Aptos Display"/>
      <family val="2"/>
      <scheme val="major"/>
    </font>
    <font>
      <sz val="12"/>
      <color rgb="FF3F3F3F"/>
      <name val="Aptos Display"/>
      <family val="2"/>
      <scheme val="major"/>
    </font>
    <font>
      <sz val="12"/>
      <color theme="1"/>
      <name val="Arial"/>
      <family val="2"/>
    </font>
    <font>
      <b/>
      <u/>
      <sz val="11"/>
      <color theme="1"/>
      <name val="Aptos Display"/>
      <family val="2"/>
      <scheme val="major"/>
    </font>
    <font>
      <b/>
      <sz val="12"/>
      <color rgb="FF0000FF"/>
      <name val="Aptos Display"/>
      <family val="2"/>
      <scheme val="major"/>
    </font>
    <font>
      <i/>
      <u/>
      <sz val="12"/>
      <color theme="10"/>
      <name val="Aptos Display"/>
      <family val="2"/>
      <scheme val="major"/>
    </font>
    <font>
      <i/>
      <sz val="12"/>
      <name val="Aptos Display"/>
      <family val="2"/>
      <scheme val="major"/>
    </font>
    <font>
      <b/>
      <u/>
      <sz val="12"/>
      <color theme="10"/>
      <name val="Aptos Display"/>
      <family val="2"/>
      <scheme val="major"/>
    </font>
  </fonts>
  <fills count="11">
    <fill>
      <patternFill patternType="none"/>
    </fill>
    <fill>
      <patternFill patternType="gray125"/>
    </fill>
    <fill>
      <patternFill patternType="solid">
        <fgColor rgb="FFF2F2F2"/>
      </patternFill>
    </fill>
    <fill>
      <patternFill patternType="solid">
        <fgColor rgb="FF319043"/>
        <bgColor indexed="64"/>
      </patternFill>
    </fill>
    <fill>
      <patternFill patternType="solid">
        <fgColor rgb="FF7EBC41"/>
        <bgColor indexed="64"/>
      </patternFill>
    </fill>
    <fill>
      <patternFill patternType="solid">
        <fgColor theme="9" tint="0.79998168889431442"/>
        <bgColor indexed="64"/>
      </patternFill>
    </fill>
    <fill>
      <patternFill patternType="solid">
        <fgColor rgb="FF339933"/>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rgb="FFFFF2CC"/>
        <bgColor indexed="64"/>
      </patternFill>
    </fill>
    <fill>
      <patternFill patternType="solid">
        <fgColor theme="0" tint="-0.14999847407452621"/>
        <bgColor indexed="64"/>
      </patternFill>
    </fill>
  </fills>
  <borders count="1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1" fillId="2" borderId="1" applyNumberFormat="0" applyAlignment="0" applyProtection="0"/>
    <xf numFmtId="0" fontId="4" fillId="0" borderId="0" applyNumberFormat="0" applyFill="0" applyBorder="0" applyAlignment="0" applyProtection="0"/>
  </cellStyleXfs>
  <cellXfs count="177">
    <xf numFmtId="0" fontId="0" fillId="0" borderId="0" xfId="0"/>
    <xf numFmtId="0" fontId="7" fillId="3" borderId="0" xfId="0" applyFont="1" applyFill="1"/>
    <xf numFmtId="0" fontId="8" fillId="3" borderId="0" xfId="0" applyFont="1" applyFill="1"/>
    <xf numFmtId="0" fontId="8" fillId="3" borderId="0" xfId="0" applyFont="1" applyFill="1" applyAlignment="1">
      <alignment horizontal="center"/>
    </xf>
    <xf numFmtId="0" fontId="9" fillId="3" borderId="0" xfId="0" applyFont="1" applyFill="1" applyAlignment="1">
      <alignment horizontal="center"/>
    </xf>
    <xf numFmtId="0" fontId="11" fillId="4" borderId="0" xfId="0" applyFont="1" applyFill="1"/>
    <xf numFmtId="0" fontId="12" fillId="4" borderId="0" xfId="0" applyFont="1" applyFill="1"/>
    <xf numFmtId="0" fontId="12" fillId="4" borderId="0" xfId="0" applyFont="1" applyFill="1" applyAlignment="1">
      <alignment horizontal="center"/>
    </xf>
    <xf numFmtId="0" fontId="9" fillId="4" borderId="0" xfId="0" applyFont="1" applyFill="1" applyAlignment="1">
      <alignment horizontal="center"/>
    </xf>
    <xf numFmtId="0" fontId="8" fillId="0" borderId="0" xfId="0" applyFont="1"/>
    <xf numFmtId="0" fontId="14" fillId="0" borderId="0" xfId="0" applyFont="1"/>
    <xf numFmtId="0" fontId="17" fillId="3" borderId="0" xfId="0" applyFont="1" applyFill="1"/>
    <xf numFmtId="0" fontId="18" fillId="4" borderId="0" xfId="0" applyFont="1" applyFill="1"/>
    <xf numFmtId="0" fontId="19" fillId="0" borderId="0" xfId="0" applyFont="1"/>
    <xf numFmtId="0" fontId="19" fillId="0" borderId="0" xfId="0" applyFont="1" applyAlignment="1">
      <alignment vertical="center"/>
    </xf>
    <xf numFmtId="0" fontId="8" fillId="4" borderId="0" xfId="0" applyFont="1" applyFill="1"/>
    <xf numFmtId="0" fontId="19" fillId="0" borderId="0" xfId="0" applyFont="1" applyAlignment="1">
      <alignment horizontal="right"/>
    </xf>
    <xf numFmtId="0" fontId="19" fillId="0" borderId="0" xfId="0" quotePrefix="1" applyFont="1" applyAlignment="1">
      <alignment horizontal="center"/>
    </xf>
    <xf numFmtId="0" fontId="8" fillId="0" borderId="8" xfId="0" applyFont="1" applyBorder="1"/>
    <xf numFmtId="0" fontId="20" fillId="0" borderId="8" xfId="0" applyFont="1" applyBorder="1"/>
    <xf numFmtId="0" fontId="21" fillId="0" borderId="0" xfId="0" applyFont="1"/>
    <xf numFmtId="0" fontId="14" fillId="0" borderId="0" xfId="0" applyFont="1" applyAlignment="1">
      <alignment horizontal="center"/>
    </xf>
    <xf numFmtId="1" fontId="3" fillId="0" borderId="0" xfId="0" applyNumberFormat="1" applyFont="1"/>
    <xf numFmtId="0" fontId="25" fillId="0" borderId="0" xfId="0" applyFont="1"/>
    <xf numFmtId="0" fontId="23" fillId="0" borderId="0" xfId="0" applyFont="1"/>
    <xf numFmtId="3" fontId="8" fillId="0" borderId="0" xfId="0" applyNumberFormat="1" applyFont="1"/>
    <xf numFmtId="1" fontId="8" fillId="0" borderId="0" xfId="0" applyNumberFormat="1" applyFont="1"/>
    <xf numFmtId="1" fontId="26" fillId="0" borderId="0" xfId="4" applyNumberFormat="1" applyFont="1" applyFill="1" applyBorder="1"/>
    <xf numFmtId="44" fontId="27" fillId="0" borderId="0" xfId="1" applyFont="1" applyFill="1" applyBorder="1"/>
    <xf numFmtId="0" fontId="29" fillId="3" borderId="0" xfId="0" applyFont="1" applyFill="1" applyAlignment="1">
      <alignment horizontal="center"/>
    </xf>
    <xf numFmtId="0" fontId="29" fillId="4" borderId="0" xfId="0" applyFont="1" applyFill="1" applyAlignment="1">
      <alignment horizontal="center"/>
    </xf>
    <xf numFmtId="0" fontId="29" fillId="0" borderId="0" xfId="0" applyFont="1" applyAlignment="1">
      <alignment horizontal="center"/>
    </xf>
    <xf numFmtId="0" fontId="30" fillId="0" borderId="0" xfId="0" applyFont="1" applyAlignment="1">
      <alignment horizontal="center"/>
    </xf>
    <xf numFmtId="0" fontId="29" fillId="0" borderId="0" xfId="0" applyFont="1"/>
    <xf numFmtId="1" fontId="29" fillId="0" borderId="0" xfId="0" applyNumberFormat="1" applyFont="1"/>
    <xf numFmtId="0" fontId="14" fillId="0" borderId="8" xfId="0" applyFont="1" applyBorder="1"/>
    <xf numFmtId="0" fontId="15" fillId="0" borderId="8" xfId="0" applyFont="1" applyBorder="1" applyAlignment="1">
      <alignment horizontal="center"/>
    </xf>
    <xf numFmtId="0" fontId="15" fillId="0" borderId="8" xfId="0" applyFont="1" applyBorder="1"/>
    <xf numFmtId="0" fontId="15" fillId="5" borderId="8" xfId="0" applyFont="1" applyFill="1" applyBorder="1" applyAlignment="1">
      <alignment horizontal="center"/>
    </xf>
    <xf numFmtId="0" fontId="14" fillId="5" borderId="0" xfId="0" applyFont="1" applyFill="1" applyAlignment="1">
      <alignment horizontal="center"/>
    </xf>
    <xf numFmtId="1" fontId="3" fillId="5" borderId="0" xfId="0" applyNumberFormat="1" applyFont="1" applyFill="1"/>
    <xf numFmtId="0" fontId="30" fillId="0" borderId="3" xfId="0" applyFont="1" applyBorder="1" applyAlignment="1">
      <alignment horizontal="center"/>
    </xf>
    <xf numFmtId="0" fontId="30" fillId="0" borderId="8" xfId="0" applyFont="1" applyBorder="1" applyAlignment="1">
      <alignment horizontal="center"/>
    </xf>
    <xf numFmtId="0" fontId="14" fillId="5" borderId="3" xfId="0" applyFont="1" applyFill="1" applyBorder="1" applyAlignment="1">
      <alignment horizontal="center"/>
    </xf>
    <xf numFmtId="0" fontId="14" fillId="5" borderId="8" xfId="0" applyFont="1" applyFill="1" applyBorder="1" applyAlignment="1">
      <alignment horizontal="center"/>
    </xf>
    <xf numFmtId="0" fontId="14" fillId="0" borderId="3" xfId="0" applyFont="1" applyBorder="1"/>
    <xf numFmtId="0" fontId="16" fillId="0" borderId="3" xfId="0" applyFont="1" applyBorder="1"/>
    <xf numFmtId="0" fontId="29" fillId="0" borderId="3" xfId="0" applyFont="1" applyBorder="1" applyAlignment="1">
      <alignment horizontal="center"/>
    </xf>
    <xf numFmtId="9" fontId="22" fillId="0" borderId="0" xfId="2" applyFont="1" applyFill="1" applyBorder="1" applyAlignment="1">
      <alignment horizontal="center"/>
    </xf>
    <xf numFmtId="44" fontId="22" fillId="0" borderId="0" xfId="0" applyNumberFormat="1" applyFont="1" applyAlignment="1">
      <alignment horizontal="center"/>
    </xf>
    <xf numFmtId="0" fontId="14" fillId="0" borderId="8" xfId="0" applyFont="1" applyBorder="1" applyAlignment="1">
      <alignment horizontal="left"/>
    </xf>
    <xf numFmtId="0" fontId="29" fillId="0" borderId="8" xfId="0" applyFont="1" applyBorder="1" applyAlignment="1">
      <alignment horizontal="center"/>
    </xf>
    <xf numFmtId="0" fontId="32" fillId="3" borderId="0" xfId="0" applyFont="1" applyFill="1" applyAlignment="1">
      <alignment horizontal="center"/>
    </xf>
    <xf numFmtId="0" fontId="32" fillId="4" borderId="0" xfId="0" applyFont="1" applyFill="1" applyAlignment="1">
      <alignment horizontal="center"/>
    </xf>
    <xf numFmtId="0" fontId="33" fillId="0" borderId="0" xfId="0" applyFont="1" applyAlignment="1">
      <alignment horizontal="center"/>
    </xf>
    <xf numFmtId="0" fontId="34" fillId="0" borderId="8" xfId="0" applyFont="1" applyBorder="1" applyAlignment="1">
      <alignment horizontal="center"/>
    </xf>
    <xf numFmtId="0" fontId="33" fillId="0" borderId="3" xfId="0" applyFont="1" applyBorder="1" applyAlignment="1">
      <alignment horizontal="center"/>
    </xf>
    <xf numFmtId="0" fontId="33" fillId="0" borderId="8" xfId="0" applyFont="1" applyBorder="1" applyAlignment="1">
      <alignment horizontal="center"/>
    </xf>
    <xf numFmtId="2" fontId="14" fillId="5" borderId="8" xfId="0" applyNumberFormat="1" applyFont="1" applyFill="1" applyBorder="1" applyAlignment="1">
      <alignment horizontal="center"/>
    </xf>
    <xf numFmtId="2" fontId="33" fillId="0" borderId="8" xfId="0" applyNumberFormat="1" applyFont="1" applyBorder="1" applyAlignment="1">
      <alignment horizontal="center"/>
    </xf>
    <xf numFmtId="2" fontId="14" fillId="5" borderId="3" xfId="0" applyNumberFormat="1" applyFont="1" applyFill="1" applyBorder="1" applyAlignment="1">
      <alignment horizontal="center"/>
    </xf>
    <xf numFmtId="2" fontId="33" fillId="0" borderId="3" xfId="0" applyNumberFormat="1" applyFont="1" applyBorder="1" applyAlignment="1">
      <alignment horizontal="center"/>
    </xf>
    <xf numFmtId="2" fontId="14" fillId="5" borderId="0" xfId="0" applyNumberFormat="1" applyFont="1" applyFill="1" applyAlignment="1">
      <alignment horizontal="center"/>
    </xf>
    <xf numFmtId="2" fontId="33" fillId="0" borderId="0" xfId="0" applyNumberFormat="1" applyFont="1" applyAlignment="1">
      <alignment horizontal="center"/>
    </xf>
    <xf numFmtId="0" fontId="14" fillId="0" borderId="10" xfId="0" applyFont="1" applyBorder="1"/>
    <xf numFmtId="0" fontId="33" fillId="0" borderId="10" xfId="0" applyFont="1" applyBorder="1" applyAlignment="1">
      <alignment horizontal="center"/>
    </xf>
    <xf numFmtId="0" fontId="10" fillId="6" borderId="10" xfId="0" applyFont="1" applyFill="1" applyBorder="1" applyAlignment="1">
      <alignment horizontal="center"/>
    </xf>
    <xf numFmtId="0" fontId="30" fillId="0" borderId="10" xfId="0" applyFont="1" applyBorder="1" applyAlignment="1">
      <alignment horizontal="center"/>
    </xf>
    <xf numFmtId="0" fontId="31" fillId="0" borderId="0" xfId="0" applyFont="1" applyAlignment="1">
      <alignment horizontal="right"/>
    </xf>
    <xf numFmtId="0" fontId="16" fillId="0" borderId="0" xfId="0" applyFont="1"/>
    <xf numFmtId="9" fontId="8" fillId="0" borderId="0" xfId="2" applyFont="1"/>
    <xf numFmtId="1" fontId="13" fillId="0" borderId="0" xfId="0" applyNumberFormat="1" applyFont="1"/>
    <xf numFmtId="1" fontId="8" fillId="0" borderId="0" xfId="0" applyNumberFormat="1" applyFont="1" applyAlignment="1">
      <alignment horizontal="center"/>
    </xf>
    <xf numFmtId="164" fontId="8" fillId="0" borderId="0" xfId="0" applyNumberFormat="1" applyFont="1"/>
    <xf numFmtId="0" fontId="28" fillId="0" borderId="0" xfId="0" applyFont="1"/>
    <xf numFmtId="1" fontId="28" fillId="0" borderId="0" xfId="0" applyNumberFormat="1" applyFont="1"/>
    <xf numFmtId="0" fontId="11" fillId="3" borderId="12" xfId="0" applyFont="1" applyFill="1" applyBorder="1"/>
    <xf numFmtId="38" fontId="8" fillId="0" borderId="0" xfId="0" applyNumberFormat="1" applyFont="1"/>
    <xf numFmtId="0" fontId="28" fillId="0" borderId="0" xfId="0" applyFont="1" applyAlignment="1">
      <alignment horizontal="right"/>
    </xf>
    <xf numFmtId="0" fontId="13" fillId="8" borderId="12" xfId="0" applyFont="1" applyFill="1" applyBorder="1"/>
    <xf numFmtId="0" fontId="8" fillId="0" borderId="4" xfId="0" quotePrefix="1" applyFont="1" applyBorder="1"/>
    <xf numFmtId="0" fontId="11" fillId="3" borderId="2" xfId="0" applyFont="1" applyFill="1" applyBorder="1"/>
    <xf numFmtId="0" fontId="11" fillId="3" borderId="6" xfId="0" applyFont="1" applyFill="1" applyBorder="1" applyAlignment="1">
      <alignment horizontal="center"/>
    </xf>
    <xf numFmtId="0" fontId="11" fillId="4" borderId="12" xfId="0" applyFont="1" applyFill="1" applyBorder="1"/>
    <xf numFmtId="0" fontId="11" fillId="4" borderId="10" xfId="0" applyFont="1" applyFill="1" applyBorder="1"/>
    <xf numFmtId="0" fontId="11" fillId="4" borderId="13" xfId="0" applyFont="1" applyFill="1" applyBorder="1"/>
    <xf numFmtId="0" fontId="11" fillId="3" borderId="13" xfId="0" applyFont="1" applyFill="1" applyBorder="1" applyAlignment="1">
      <alignment horizontal="center"/>
    </xf>
    <xf numFmtId="0" fontId="8" fillId="0" borderId="4" xfId="0" applyFont="1" applyBorder="1"/>
    <xf numFmtId="0" fontId="8" fillId="0" borderId="7" xfId="0" applyFont="1" applyBorder="1"/>
    <xf numFmtId="0" fontId="15" fillId="0" borderId="0" xfId="0" applyFont="1" applyAlignment="1">
      <alignment horizontal="center"/>
    </xf>
    <xf numFmtId="0" fontId="13" fillId="8" borderId="14" xfId="0" applyFont="1" applyFill="1" applyBorder="1"/>
    <xf numFmtId="0" fontId="8" fillId="8" borderId="10" xfId="0" applyFont="1" applyFill="1" applyBorder="1"/>
    <xf numFmtId="0" fontId="8" fillId="0" borderId="2" xfId="0" applyFont="1" applyBorder="1"/>
    <xf numFmtId="166" fontId="36" fillId="2" borderId="0" xfId="2" applyNumberFormat="1" applyFont="1" applyFill="1" applyBorder="1" applyAlignment="1">
      <alignment horizontal="center"/>
    </xf>
    <xf numFmtId="165" fontId="36" fillId="2" borderId="0" xfId="3" applyNumberFormat="1" applyFont="1" applyBorder="1" applyAlignment="1">
      <alignment horizontal="center"/>
    </xf>
    <xf numFmtId="1" fontId="37" fillId="0" borderId="0" xfId="3" applyNumberFormat="1" applyFont="1" applyFill="1" applyBorder="1" applyAlignment="1">
      <alignment horizontal="center"/>
    </xf>
    <xf numFmtId="0" fontId="38" fillId="0" borderId="0" xfId="0" applyFont="1"/>
    <xf numFmtId="42" fontId="36" fillId="2" borderId="8" xfId="3" applyNumberFormat="1" applyFont="1" applyBorder="1" applyAlignment="1">
      <alignment horizontal="center"/>
    </xf>
    <xf numFmtId="168" fontId="8" fillId="0" borderId="0" xfId="0" applyNumberFormat="1" applyFont="1"/>
    <xf numFmtId="168" fontId="8" fillId="0" borderId="0" xfId="1" applyNumberFormat="1" applyFont="1"/>
    <xf numFmtId="168" fontId="8" fillId="0" borderId="0" xfId="1" applyNumberFormat="1" applyFont="1" applyAlignment="1"/>
    <xf numFmtId="169" fontId="13" fillId="0" borderId="5" xfId="0" applyNumberFormat="1" applyFont="1" applyBorder="1" applyAlignment="1">
      <alignment horizontal="center"/>
    </xf>
    <xf numFmtId="166" fontId="13" fillId="0" borderId="5" xfId="0" applyNumberFormat="1" applyFont="1" applyBorder="1" applyAlignment="1">
      <alignment horizontal="center"/>
    </xf>
    <xf numFmtId="166" fontId="13" fillId="0" borderId="9" xfId="2" applyNumberFormat="1" applyFont="1" applyBorder="1" applyAlignment="1">
      <alignment horizontal="center"/>
    </xf>
    <xf numFmtId="9" fontId="14" fillId="5" borderId="8" xfId="2" applyFont="1" applyFill="1" applyBorder="1" applyAlignment="1">
      <alignment horizontal="center"/>
    </xf>
    <xf numFmtId="0" fontId="39" fillId="0" borderId="0" xfId="0" applyFont="1"/>
    <xf numFmtId="165" fontId="22" fillId="9" borderId="0" xfId="0" applyNumberFormat="1" applyFont="1" applyFill="1" applyAlignment="1">
      <alignment horizontal="center"/>
    </xf>
    <xf numFmtId="165" fontId="14" fillId="5" borderId="10" xfId="0" applyNumberFormat="1" applyFont="1" applyFill="1" applyBorder="1" applyAlignment="1">
      <alignment horizontal="center"/>
    </xf>
    <xf numFmtId="165" fontId="14" fillId="5" borderId="0" xfId="0" applyNumberFormat="1" applyFont="1" applyFill="1" applyAlignment="1">
      <alignment horizontal="center"/>
    </xf>
    <xf numFmtId="165" fontId="8" fillId="7" borderId="0" xfId="0" applyNumberFormat="1" applyFont="1" applyFill="1" applyAlignment="1">
      <alignment horizontal="center"/>
    </xf>
    <xf numFmtId="0" fontId="39" fillId="0" borderId="0" xfId="0" applyFont="1" applyAlignment="1">
      <alignment horizontal="center"/>
    </xf>
    <xf numFmtId="165" fontId="40" fillId="9" borderId="0" xfId="0" applyNumberFormat="1" applyFont="1" applyFill="1" applyAlignment="1">
      <alignment horizontal="center"/>
    </xf>
    <xf numFmtId="165" fontId="15" fillId="5" borderId="0" xfId="0" applyNumberFormat="1" applyFont="1" applyFill="1" applyAlignment="1">
      <alignment horizontal="center"/>
    </xf>
    <xf numFmtId="165" fontId="13" fillId="7" borderId="0" xfId="0" applyNumberFormat="1" applyFont="1" applyFill="1" applyAlignment="1">
      <alignment horizontal="center"/>
    </xf>
    <xf numFmtId="0" fontId="14" fillId="0" borderId="0" xfId="0" applyFont="1" applyAlignment="1">
      <alignment horizontal="right"/>
    </xf>
    <xf numFmtId="0" fontId="14" fillId="0" borderId="0" xfId="0" quotePrefix="1" applyFont="1" applyAlignment="1">
      <alignment horizontal="center"/>
    </xf>
    <xf numFmtId="0" fontId="21" fillId="0" borderId="10" xfId="0" applyFont="1" applyBorder="1"/>
    <xf numFmtId="0" fontId="21" fillId="0" borderId="3" xfId="0" applyFont="1" applyBorder="1"/>
    <xf numFmtId="0" fontId="21" fillId="0" borderId="8" xfId="0" applyFont="1" applyBorder="1"/>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wrapText="1"/>
    </xf>
    <xf numFmtId="0" fontId="11" fillId="3" borderId="13" xfId="0" applyFont="1" applyFill="1" applyBorder="1"/>
    <xf numFmtId="0" fontId="13" fillId="0" borderId="0" xfId="0" applyFont="1" applyAlignment="1">
      <alignment vertical="center"/>
    </xf>
    <xf numFmtId="0" fontId="13" fillId="10" borderId="0" xfId="0" applyFont="1" applyFill="1" applyAlignment="1">
      <alignment horizontal="center" wrapText="1"/>
    </xf>
    <xf numFmtId="0" fontId="8" fillId="10" borderId="0" xfId="0" applyFont="1" applyFill="1" applyAlignment="1">
      <alignment vertical="center" wrapText="1"/>
    </xf>
    <xf numFmtId="0" fontId="13" fillId="10" borderId="0" xfId="0" applyFont="1" applyFill="1" applyAlignment="1">
      <alignment vertical="center"/>
    </xf>
    <xf numFmtId="0" fontId="8" fillId="10" borderId="0" xfId="0" applyFont="1" applyFill="1" applyAlignment="1">
      <alignment wrapText="1"/>
    </xf>
    <xf numFmtId="0" fontId="8" fillId="10" borderId="0" xfId="0" applyFont="1" applyFill="1" applyAlignment="1">
      <alignment horizontal="left" vertical="center" wrapText="1"/>
    </xf>
    <xf numFmtId="0" fontId="35" fillId="0" borderId="0" xfId="0" applyFont="1"/>
    <xf numFmtId="1" fontId="21" fillId="0" borderId="8" xfId="0" applyNumberFormat="1" applyFont="1" applyBorder="1"/>
    <xf numFmtId="0" fontId="41" fillId="0" borderId="0" xfId="4" applyFont="1"/>
    <xf numFmtId="0" fontId="31" fillId="0" borderId="0" xfId="0" applyFont="1"/>
    <xf numFmtId="9" fontId="33" fillId="0" borderId="8" xfId="0" applyNumberFormat="1" applyFont="1" applyBorder="1" applyAlignment="1">
      <alignment horizontal="center"/>
    </xf>
    <xf numFmtId="6" fontId="13" fillId="8" borderId="14" xfId="0" applyNumberFormat="1" applyFont="1" applyFill="1" applyBorder="1"/>
    <xf numFmtId="166" fontId="13" fillId="0" borderId="5" xfId="2" applyNumberFormat="1" applyFont="1" applyBorder="1" applyAlignment="1">
      <alignment horizontal="center"/>
    </xf>
    <xf numFmtId="0" fontId="42" fillId="0" borderId="0" xfId="0" applyFont="1"/>
    <xf numFmtId="0" fontId="11" fillId="3" borderId="0" xfId="0" applyFont="1" applyFill="1" applyAlignment="1">
      <alignment vertical="center"/>
    </xf>
    <xf numFmtId="0" fontId="4" fillId="0" borderId="0" xfId="4"/>
    <xf numFmtId="0" fontId="13" fillId="0" borderId="0" xfId="0" quotePrefix="1" applyFont="1" applyAlignment="1">
      <alignment horizontal="right" vertical="center"/>
    </xf>
    <xf numFmtId="0" fontId="43" fillId="0" borderId="0" xfId="4" applyFont="1" applyAlignment="1">
      <alignment vertical="center"/>
    </xf>
    <xf numFmtId="167" fontId="22" fillId="9" borderId="0" xfId="0" applyNumberFormat="1" applyFont="1" applyFill="1" applyAlignment="1" applyProtection="1">
      <alignment horizontal="center"/>
      <protection locked="0"/>
    </xf>
    <xf numFmtId="44" fontId="22" fillId="9" borderId="0" xfId="0" applyNumberFormat="1" applyFont="1" applyFill="1" applyAlignment="1" applyProtection="1">
      <alignment horizontal="center"/>
      <protection locked="0"/>
    </xf>
    <xf numFmtId="0" fontId="14" fillId="7" borderId="11" xfId="0" applyFont="1" applyFill="1" applyBorder="1" applyAlignment="1" applyProtection="1">
      <alignment horizontal="center"/>
      <protection locked="0"/>
    </xf>
    <xf numFmtId="44" fontId="22" fillId="9" borderId="8" xfId="0" applyNumberFormat="1" applyFont="1" applyFill="1" applyBorder="1" applyAlignment="1" applyProtection="1">
      <alignment horizontal="center"/>
      <protection locked="0"/>
    </xf>
    <xf numFmtId="44" fontId="22" fillId="9" borderId="3" xfId="0" applyNumberFormat="1" applyFont="1" applyFill="1" applyBorder="1" applyAlignment="1" applyProtection="1">
      <alignment horizontal="center"/>
      <protection locked="0"/>
    </xf>
    <xf numFmtId="166" fontId="22" fillId="9" borderId="8" xfId="2" applyNumberFormat="1" applyFont="1" applyFill="1" applyBorder="1" applyAlignment="1" applyProtection="1">
      <alignment horizontal="center"/>
      <protection locked="0"/>
    </xf>
    <xf numFmtId="166" fontId="22" fillId="9" borderId="0" xfId="2" applyNumberFormat="1" applyFont="1" applyFill="1" applyBorder="1" applyAlignment="1" applyProtection="1">
      <alignment horizontal="center"/>
      <protection locked="0"/>
    </xf>
    <xf numFmtId="165" fontId="22" fillId="9" borderId="3" xfId="0" applyNumberFormat="1" applyFont="1" applyFill="1" applyBorder="1" applyAlignment="1" applyProtection="1">
      <alignment horizontal="center"/>
      <protection locked="0"/>
    </xf>
    <xf numFmtId="165" fontId="22" fillId="9" borderId="0" xfId="0" applyNumberFormat="1" applyFont="1" applyFill="1" applyAlignment="1" applyProtection="1">
      <alignment horizontal="center"/>
      <protection locked="0"/>
    </xf>
    <xf numFmtId="165" fontId="22" fillId="9" borderId="8" xfId="0" applyNumberFormat="1" applyFont="1" applyFill="1" applyBorder="1" applyAlignment="1" applyProtection="1">
      <alignment horizontal="center"/>
      <protection locked="0"/>
    </xf>
    <xf numFmtId="166" fontId="22" fillId="9" borderId="3" xfId="2" applyNumberFormat="1" applyFont="1" applyFill="1" applyBorder="1" applyAlignment="1" applyProtection="1">
      <alignment horizontal="center"/>
      <protection locked="0"/>
    </xf>
    <xf numFmtId="165" fontId="22" fillId="9" borderId="10" xfId="0" applyNumberFormat="1" applyFont="1" applyFill="1" applyBorder="1" applyAlignment="1" applyProtection="1">
      <alignment horizontal="center"/>
      <protection locked="0"/>
    </xf>
    <xf numFmtId="170" fontId="8" fillId="0" borderId="5" xfId="0" applyNumberFormat="1" applyFont="1" applyBorder="1" applyAlignment="1">
      <alignment horizontal="center"/>
    </xf>
    <xf numFmtId="170" fontId="13" fillId="8" borderId="13" xfId="0" applyNumberFormat="1" applyFont="1" applyFill="1" applyBorder="1" applyAlignment="1">
      <alignment horizontal="center"/>
    </xf>
    <xf numFmtId="0" fontId="15" fillId="0" borderId="0" xfId="0" applyFont="1"/>
    <xf numFmtId="0" fontId="14" fillId="0" borderId="0" xfId="0" quotePrefix="1" applyFont="1"/>
    <xf numFmtId="165" fontId="22" fillId="0" borderId="0" xfId="0" applyNumberFormat="1" applyFont="1" applyAlignment="1" applyProtection="1">
      <alignment horizontal="center"/>
      <protection locked="0"/>
    </xf>
    <xf numFmtId="0" fontId="14" fillId="0" borderId="0" xfId="0" applyFont="1" applyProtection="1">
      <protection locked="0"/>
    </xf>
    <xf numFmtId="0" fontId="14" fillId="0" borderId="8" xfId="0" applyFont="1" applyBorder="1" applyProtection="1">
      <protection locked="0"/>
    </xf>
    <xf numFmtId="9" fontId="33" fillId="0" borderId="0" xfId="2" applyFont="1" applyAlignment="1">
      <alignment horizontal="center"/>
    </xf>
    <xf numFmtId="0" fontId="4" fillId="10" borderId="0" xfId="4" applyFill="1"/>
    <xf numFmtId="0" fontId="10" fillId="3" borderId="3"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8"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8"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8" xfId="0" applyFont="1" applyFill="1" applyBorder="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left" wrapText="1"/>
    </xf>
    <xf numFmtId="0" fontId="8" fillId="0" borderId="3" xfId="0" applyFont="1" applyBorder="1" applyAlignment="1">
      <alignment horizontal="left" vertical="center" wrapText="1"/>
    </xf>
    <xf numFmtId="0" fontId="8" fillId="0" borderId="0" xfId="0" applyFont="1" applyAlignment="1">
      <alignment horizontal="left" vertical="center" wrapText="1"/>
    </xf>
  </cellXfs>
  <cellStyles count="5">
    <cellStyle name="Currency" xfId="1" builtinId="4"/>
    <cellStyle name="Hyperlink" xfId="4" builtinId="8"/>
    <cellStyle name="Normal" xfId="0" builtinId="0"/>
    <cellStyle name="Output" xfId="3" builtinId="21"/>
    <cellStyle name="Percent" xfId="2" builtinId="5"/>
  </cellStyles>
  <dxfs count="0"/>
  <tableStyles count="0" defaultTableStyle="TableStyleMedium2" defaultPivotStyle="PivotStyleLight16"/>
  <colors>
    <mruColors>
      <color rgb="FF7EBC41"/>
      <color rgb="FF319043"/>
      <color rgb="FFFFF2CC"/>
      <color rgb="FF696969"/>
      <color rgb="FF339933"/>
      <color rgb="FF00CC00"/>
      <color rgb="FF996633"/>
      <color rgb="FF3F3F3F"/>
      <color rgb="FF663300"/>
      <color rgb="FFF0E3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19</xdr:col>
      <xdr:colOff>333375</xdr:colOff>
      <xdr:row>8</xdr:row>
      <xdr:rowOff>174625</xdr:rowOff>
    </xdr:from>
    <xdr:to>
      <xdr:col>23</xdr:col>
      <xdr:colOff>338132</xdr:colOff>
      <xdr:row>22</xdr:row>
      <xdr:rowOff>95250</xdr:rowOff>
    </xdr:to>
    <xdr:pic>
      <xdr:nvPicPr>
        <xdr:cNvPr id="3" name="Picture 2">
          <a:extLst>
            <a:ext uri="{FF2B5EF4-FFF2-40B4-BE49-F238E27FC236}">
              <a16:creationId xmlns:a16="http://schemas.microsoft.com/office/drawing/2014/main" id="{C6CBE573-B1DB-994D-4F3B-15C09927A8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500" y="1920875"/>
          <a:ext cx="3338507" cy="3032125"/>
        </a:xfrm>
        <a:prstGeom prst="rect">
          <a:avLst/>
        </a:prstGeom>
      </xdr:spPr>
    </xdr:pic>
    <xdr:clientData/>
  </xdr:twoCellAnchor>
  <xdr:twoCellAnchor>
    <xdr:from>
      <xdr:col>19</xdr:col>
      <xdr:colOff>606572</xdr:colOff>
      <xdr:row>21</xdr:row>
      <xdr:rowOff>162074</xdr:rowOff>
    </xdr:from>
    <xdr:to>
      <xdr:col>25</xdr:col>
      <xdr:colOff>664535</xdr:colOff>
      <xdr:row>26</xdr:row>
      <xdr:rowOff>118141</xdr:rowOff>
    </xdr:to>
    <xdr:sp macro="" textlink="">
      <xdr:nvSpPr>
        <xdr:cNvPr id="4" name="TextBox 3">
          <a:extLst>
            <a:ext uri="{FF2B5EF4-FFF2-40B4-BE49-F238E27FC236}">
              <a16:creationId xmlns:a16="http://schemas.microsoft.com/office/drawing/2014/main" id="{8090FF9E-1588-D9FC-20FF-168668CA6F66}"/>
            </a:ext>
          </a:extLst>
        </xdr:cNvPr>
        <xdr:cNvSpPr txBox="1"/>
      </xdr:nvSpPr>
      <xdr:spPr>
        <a:xfrm>
          <a:off x="12494363" y="4799051"/>
          <a:ext cx="4783544" cy="10340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j-lt"/>
              <a:ea typeface="+mn-ea"/>
              <a:cs typeface="+mn-cs"/>
            </a:rPr>
            <a:t>This material is based upon work supported by the National Institute of Food and Agriculture, U.S. Department of Agriculture, through the Northeast Sustainable Agriculture Research and Education program under subaward number ENE23-187.</a:t>
          </a:r>
        </a:p>
        <a:p>
          <a:pPr marL="0" marR="0" indent="0" defTabSz="914400" eaLnBrk="1" fontAlgn="auto" latinLnBrk="0" hangingPunct="1">
            <a:lnSpc>
              <a:spcPct val="100000"/>
            </a:lnSpc>
            <a:spcBef>
              <a:spcPts val="0"/>
            </a:spcBef>
            <a:spcAft>
              <a:spcPts val="0"/>
            </a:spcAft>
            <a:buClrTx/>
            <a:buSzTx/>
            <a:buFontTx/>
            <a:buNone/>
            <a:tabLst/>
            <a:defRPr/>
          </a:pPr>
          <a:endParaRPr lang="en-US" sz="1100">
            <a:latin typeface="+mj-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350520</xdr:colOff>
      <xdr:row>0</xdr:row>
      <xdr:rowOff>76201</xdr:rowOff>
    </xdr:from>
    <xdr:to>
      <xdr:col>15</xdr:col>
      <xdr:colOff>591157</xdr:colOff>
      <xdr:row>35</xdr:row>
      <xdr:rowOff>144780</xdr:rowOff>
    </xdr:to>
    <xdr:pic>
      <xdr:nvPicPr>
        <xdr:cNvPr id="3" name="Picture 2">
          <a:extLst>
            <a:ext uri="{FF2B5EF4-FFF2-40B4-BE49-F238E27FC236}">
              <a16:creationId xmlns:a16="http://schemas.microsoft.com/office/drawing/2014/main" id="{6EF55E9D-57A0-F5CF-3E20-729AB6D000C9}"/>
            </a:ext>
          </a:extLst>
        </xdr:cNvPr>
        <xdr:cNvPicPr>
          <a:picLocks noChangeAspect="1"/>
        </xdr:cNvPicPr>
      </xdr:nvPicPr>
      <xdr:blipFill>
        <a:blip xmlns:r="http://schemas.openxmlformats.org/officeDocument/2006/relationships" r:embed="rId1"/>
        <a:stretch>
          <a:fillRect/>
        </a:stretch>
      </xdr:blipFill>
      <xdr:spPr>
        <a:xfrm>
          <a:off x="3703320" y="76201"/>
          <a:ext cx="6946237" cy="64693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12</xdr:row>
      <xdr:rowOff>76200</xdr:rowOff>
    </xdr:from>
    <xdr:to>
      <xdr:col>6</xdr:col>
      <xdr:colOff>904875</xdr:colOff>
      <xdr:row>12</xdr:row>
      <xdr:rowOff>323850</xdr:rowOff>
    </xdr:to>
    <xdr:sp macro="" textlink="">
      <xdr:nvSpPr>
        <xdr:cNvPr id="3" name="Arrow: Right 2">
          <a:extLst>
            <a:ext uri="{FF2B5EF4-FFF2-40B4-BE49-F238E27FC236}">
              <a16:creationId xmlns:a16="http://schemas.microsoft.com/office/drawing/2014/main" id="{AB26444A-4F4B-4705-987F-61D4CD5C676A}"/>
            </a:ext>
          </a:extLst>
        </xdr:cNvPr>
        <xdr:cNvSpPr/>
      </xdr:nvSpPr>
      <xdr:spPr>
        <a:xfrm>
          <a:off x="8074025" y="4267200"/>
          <a:ext cx="438150" cy="247650"/>
        </a:xfrm>
        <a:prstGeom prst="rightArrow">
          <a:avLst/>
        </a:prstGeom>
        <a:solidFill>
          <a:srgbClr val="7EBC4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Austin Unruh" id="{E096327A-AC95-4301-A722-17DD99A0A04B}" userId="bbf6e520799a8e25"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8" dT="2022-02-20T03:06:44.14" personId="{E096327A-AC95-4301-A722-17DD99A0A04B}" id="{031442E3-F9BB-4C8E-A42E-E60CCDA9616E}">
    <text>Assume the trees won't reach full capacity until age 11</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journalofdairyscience.org/action/showPdf?pii=S0022-0302%2803%2974040-5"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journalofdairyscience.org/action/showPdf?pii=S0022-0302%2803%2974040-5"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journalofdairyscience.org/action/showPdf?pii=S0022-0302%2803%2974040-5" TargetMode="External"/><Relationship Id="rId2" Type="http://schemas.openxmlformats.org/officeDocument/2006/relationships/hyperlink" Target="https://www2.ca.uky.edu/agcomm/pubs/pr/pr417/1.pdf" TargetMode="External"/><Relationship Id="rId1" Type="http://schemas.openxmlformats.org/officeDocument/2006/relationships/hyperlink" Target="https://treesforgraziers.com/about/getting-started/"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EE898-87DA-41D2-AA8D-FC47C49693AA}">
  <sheetPr>
    <tabColor rgb="FF7EBC41"/>
  </sheetPr>
  <dimension ref="A1:X38"/>
  <sheetViews>
    <sheetView showGridLines="0" tabSelected="1" zoomScale="86" zoomScaleNormal="80" workbookViewId="0">
      <pane xSplit="2" ySplit="2" topLeftCell="C4" activePane="bottomRight" state="frozen"/>
      <selection pane="topRight" activeCell="C1" sqref="C1"/>
      <selection pane="bottomLeft" activeCell="A3" sqref="A3"/>
      <selection pane="bottomRight" activeCell="W30" sqref="W30"/>
    </sheetView>
  </sheetViews>
  <sheetFormatPr baseColWidth="10" defaultColWidth="8.83203125" defaultRowHeight="15" x14ac:dyDescent="0.2"/>
  <cols>
    <col min="1" max="1" width="1.6640625" style="9" customWidth="1"/>
    <col min="2" max="2" width="2.6640625" style="9" customWidth="1"/>
    <col min="3" max="20" width="8.83203125" style="9"/>
    <col min="21" max="21" width="13.1640625" style="9" bestFit="1" customWidth="1"/>
    <col min="22" max="22" width="8.83203125" style="9"/>
    <col min="23" max="23" width="13.1640625" style="9" bestFit="1" customWidth="1"/>
    <col min="24" max="16384" width="8.83203125" style="9"/>
  </cols>
  <sheetData>
    <row r="1" spans="1:24" s="2" customFormat="1" ht="25" x14ac:dyDescent="0.3">
      <c r="A1" s="11" t="s">
        <v>14</v>
      </c>
      <c r="B1" s="1"/>
      <c r="D1" s="3"/>
      <c r="E1" s="3"/>
      <c r="F1" s="4"/>
      <c r="G1" s="4"/>
      <c r="H1" s="3"/>
      <c r="I1" s="3"/>
      <c r="J1" s="3"/>
      <c r="K1" s="3"/>
      <c r="L1" s="3"/>
      <c r="M1" s="3"/>
      <c r="N1" s="3"/>
      <c r="O1" s="3"/>
      <c r="P1" s="3"/>
      <c r="Q1" s="3"/>
      <c r="R1" s="3"/>
      <c r="S1" s="3"/>
      <c r="T1" s="3"/>
      <c r="U1" s="3"/>
      <c r="V1" s="3"/>
      <c r="W1" s="3"/>
      <c r="X1" s="3"/>
    </row>
    <row r="2" spans="1:24" s="6" customFormat="1" ht="18" x14ac:dyDescent="0.25">
      <c r="A2" s="12" t="s">
        <v>176</v>
      </c>
      <c r="B2" s="5"/>
      <c r="D2" s="7"/>
      <c r="E2" s="7"/>
      <c r="F2" s="8"/>
      <c r="G2" s="8"/>
      <c r="H2" s="7"/>
      <c r="I2" s="7"/>
      <c r="J2" s="7"/>
      <c r="K2" s="7"/>
      <c r="L2" s="7"/>
      <c r="M2" s="7"/>
      <c r="N2" s="7"/>
      <c r="O2" s="7"/>
      <c r="P2" s="7"/>
      <c r="Q2" s="7"/>
      <c r="R2" s="7"/>
      <c r="S2" s="7"/>
      <c r="T2" s="7"/>
      <c r="U2" s="7"/>
      <c r="V2" s="7"/>
      <c r="W2" s="7"/>
      <c r="X2" s="7"/>
    </row>
    <row r="3" spans="1:24" ht="8" customHeight="1" x14ac:dyDescent="0.2"/>
    <row r="4" spans="1:24" ht="18" x14ac:dyDescent="0.25">
      <c r="C4" s="19" t="s">
        <v>15</v>
      </c>
      <c r="D4" s="18"/>
      <c r="E4" s="18"/>
      <c r="F4" s="18"/>
      <c r="G4" s="18"/>
      <c r="H4" s="18"/>
      <c r="I4" s="18"/>
      <c r="J4" s="18"/>
      <c r="K4" s="18"/>
      <c r="L4" s="18"/>
      <c r="M4" s="18"/>
      <c r="N4" s="18"/>
      <c r="O4" s="18"/>
      <c r="P4" s="18"/>
      <c r="Q4" s="18"/>
      <c r="R4" s="18"/>
      <c r="U4" s="105" t="s">
        <v>140</v>
      </c>
    </row>
    <row r="5" spans="1:24" ht="18" x14ac:dyDescent="0.2">
      <c r="B5" s="2"/>
      <c r="C5" s="14" t="s">
        <v>16</v>
      </c>
      <c r="U5" s="106">
        <v>0</v>
      </c>
      <c r="V5" s="9" t="s">
        <v>139</v>
      </c>
    </row>
    <row r="6" spans="1:24" ht="18" x14ac:dyDescent="0.2">
      <c r="C6" s="14"/>
      <c r="U6" s="108">
        <v>0</v>
      </c>
      <c r="V6" s="9" t="s">
        <v>142</v>
      </c>
    </row>
    <row r="7" spans="1:24" ht="18" x14ac:dyDescent="0.2">
      <c r="B7" s="2"/>
      <c r="C7" s="14" t="s">
        <v>23</v>
      </c>
      <c r="U7" s="94">
        <v>0</v>
      </c>
      <c r="V7" s="9" t="s">
        <v>141</v>
      </c>
    </row>
    <row r="8" spans="1:24" ht="18" x14ac:dyDescent="0.2">
      <c r="C8" s="14"/>
      <c r="U8" s="109">
        <v>0</v>
      </c>
      <c r="V8" s="9" t="s">
        <v>143</v>
      </c>
    </row>
    <row r="9" spans="1:24" ht="18" x14ac:dyDescent="0.2">
      <c r="B9" s="2"/>
      <c r="C9" s="14" t="s">
        <v>177</v>
      </c>
    </row>
    <row r="10" spans="1:24" ht="18" x14ac:dyDescent="0.25">
      <c r="C10" s="13"/>
    </row>
    <row r="11" spans="1:24" ht="18" x14ac:dyDescent="0.25">
      <c r="C11" s="19" t="s">
        <v>13</v>
      </c>
      <c r="D11" s="18"/>
      <c r="E11" s="18"/>
      <c r="F11" s="18"/>
      <c r="G11" s="18"/>
      <c r="H11" s="18"/>
      <c r="I11" s="18"/>
      <c r="J11" s="18"/>
      <c r="K11" s="18"/>
      <c r="L11" s="18"/>
      <c r="M11" s="18"/>
      <c r="N11" s="18"/>
      <c r="O11" s="18"/>
      <c r="P11" s="18"/>
      <c r="Q11" s="18"/>
      <c r="R11" s="18"/>
    </row>
    <row r="12" spans="1:24" ht="18" x14ac:dyDescent="0.25">
      <c r="B12" s="15"/>
      <c r="C12" s="13" t="s">
        <v>152</v>
      </c>
      <c r="D12" s="13"/>
      <c r="E12" s="13"/>
    </row>
    <row r="13" spans="1:24" ht="18" x14ac:dyDescent="0.25">
      <c r="C13" s="13"/>
      <c r="D13" s="13"/>
      <c r="E13" s="13"/>
    </row>
    <row r="14" spans="1:24" ht="18" x14ac:dyDescent="0.25">
      <c r="B14" s="15"/>
      <c r="C14" s="13" t="s">
        <v>17</v>
      </c>
      <c r="D14" s="13"/>
      <c r="E14" s="13"/>
    </row>
    <row r="15" spans="1:24" ht="18" x14ac:dyDescent="0.25">
      <c r="C15" s="16" t="s">
        <v>18</v>
      </c>
      <c r="D15" s="17" t="s">
        <v>21</v>
      </c>
      <c r="E15" s="13" t="s">
        <v>178</v>
      </c>
    </row>
    <row r="16" spans="1:24" ht="18" x14ac:dyDescent="0.25">
      <c r="C16" s="16" t="s">
        <v>19</v>
      </c>
      <c r="D16" s="17" t="s">
        <v>21</v>
      </c>
      <c r="E16" s="13" t="s">
        <v>179</v>
      </c>
    </row>
    <row r="17" spans="2:21" ht="18" x14ac:dyDescent="0.25">
      <c r="C17" s="16" t="s">
        <v>20</v>
      </c>
      <c r="D17" s="17" t="s">
        <v>21</v>
      </c>
      <c r="E17" s="13" t="s">
        <v>180</v>
      </c>
    </row>
    <row r="18" spans="2:21" ht="18" x14ac:dyDescent="0.25">
      <c r="C18" s="16"/>
      <c r="D18" s="17"/>
      <c r="E18" s="13"/>
    </row>
    <row r="19" spans="2:21" ht="18" x14ac:dyDescent="0.25">
      <c r="B19" s="15"/>
      <c r="C19" s="13" t="s">
        <v>145</v>
      </c>
      <c r="D19" s="13"/>
      <c r="E19" s="13"/>
    </row>
    <row r="20" spans="2:21" ht="18" x14ac:dyDescent="0.25">
      <c r="C20" s="13"/>
      <c r="D20" s="13"/>
      <c r="E20" s="13"/>
    </row>
    <row r="21" spans="2:21" ht="18" x14ac:dyDescent="0.25">
      <c r="C21" s="19" t="s">
        <v>22</v>
      </c>
      <c r="D21" s="18"/>
      <c r="E21" s="18"/>
      <c r="F21" s="18"/>
      <c r="G21" s="18"/>
      <c r="H21" s="18"/>
      <c r="I21" s="18"/>
      <c r="J21" s="18"/>
      <c r="K21" s="18"/>
      <c r="L21" s="18"/>
      <c r="M21" s="18"/>
      <c r="N21" s="18"/>
      <c r="O21" s="18"/>
      <c r="P21" s="18"/>
      <c r="Q21" s="18"/>
      <c r="R21" s="18"/>
    </row>
    <row r="22" spans="2:21" ht="18" x14ac:dyDescent="0.25">
      <c r="B22" s="2"/>
      <c r="C22" s="13" t="s">
        <v>198</v>
      </c>
      <c r="D22" s="13"/>
      <c r="E22" s="13"/>
    </row>
    <row r="23" spans="2:21" ht="18" x14ac:dyDescent="0.25">
      <c r="C23" s="13"/>
    </row>
    <row r="24" spans="2:21" ht="18" x14ac:dyDescent="0.25">
      <c r="C24" s="19" t="s">
        <v>148</v>
      </c>
      <c r="D24" s="18"/>
      <c r="E24" s="18"/>
      <c r="F24" s="18"/>
      <c r="G24" s="18"/>
      <c r="H24" s="18"/>
      <c r="I24" s="18"/>
      <c r="J24" s="18"/>
      <c r="K24" s="18"/>
      <c r="L24" s="18"/>
      <c r="M24" s="18"/>
      <c r="N24" s="18"/>
      <c r="O24" s="18"/>
      <c r="P24" s="18"/>
      <c r="Q24" s="18"/>
      <c r="R24" s="18"/>
    </row>
    <row r="25" spans="2:21" ht="18" x14ac:dyDescent="0.25">
      <c r="B25" s="15"/>
      <c r="C25" s="13" t="s">
        <v>150</v>
      </c>
      <c r="U25"/>
    </row>
    <row r="27" spans="2:21" ht="18" x14ac:dyDescent="0.25">
      <c r="B27" s="15"/>
      <c r="C27" s="13" t="s">
        <v>151</v>
      </c>
    </row>
    <row r="38" spans="21:21" x14ac:dyDescent="0.2">
      <c r="U38"/>
    </row>
  </sheetData>
  <dataValidations count="1">
    <dataValidation type="list" allowBlank="1" showInputMessage="1" showErrorMessage="1" sqref="U8" xr:uid="{63BA60F0-6775-4509-90CE-4F35DBA123EF}">
      <formula1>$U$6:$U$7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37C5-C6E1-43DA-961A-16D7968D5638}">
  <sheetPr>
    <tabColor rgb="FF319043"/>
  </sheetPr>
  <dimension ref="A1:S59"/>
  <sheetViews>
    <sheetView showGridLines="0" zoomScale="80" zoomScaleNormal="80" workbookViewId="0">
      <pane xSplit="3" ySplit="10" topLeftCell="D30" activePane="bottomRight" state="frozen"/>
      <selection pane="topRight" activeCell="D1" sqref="D1"/>
      <selection pane="bottomLeft" activeCell="A7" sqref="A7"/>
      <selection pane="bottomRight" activeCell="F40" sqref="F40"/>
    </sheetView>
  </sheetViews>
  <sheetFormatPr baseColWidth="10" defaultColWidth="8.83203125" defaultRowHeight="15" x14ac:dyDescent="0.2"/>
  <cols>
    <col min="1" max="1" width="1.6640625" style="10" customWidth="1"/>
    <col min="2" max="2" width="2.6640625" style="10" customWidth="1"/>
    <col min="3" max="3" width="13.1640625" style="10" bestFit="1" customWidth="1"/>
    <col min="4" max="4" width="30.5" style="10" bestFit="1" customWidth="1"/>
    <col min="5" max="5" width="18.33203125" style="31" bestFit="1" customWidth="1"/>
    <col min="6" max="6" width="10.83203125" style="10" bestFit="1" customWidth="1"/>
    <col min="7" max="7" width="2.6640625" style="21" customWidth="1"/>
    <col min="8" max="8" width="6.5" style="21" bestFit="1" customWidth="1"/>
    <col min="9" max="9" width="2.6640625" style="21" customWidth="1"/>
    <col min="10" max="11" width="6" style="54" customWidth="1"/>
    <col min="12" max="13" width="2.6640625" style="21" customWidth="1"/>
    <col min="14" max="14" width="96" style="10" customWidth="1"/>
    <col min="15" max="15" width="4.6640625" style="10" customWidth="1"/>
    <col min="16" max="16" width="23.33203125" style="10" bestFit="1" customWidth="1"/>
    <col min="17" max="16384" width="8.83203125" style="10"/>
  </cols>
  <sheetData>
    <row r="1" spans="1:19" s="2" customFormat="1" ht="25" x14ac:dyDescent="0.3">
      <c r="A1" s="11" t="s">
        <v>13</v>
      </c>
      <c r="B1" s="1"/>
      <c r="D1" s="3"/>
      <c r="E1" s="29"/>
      <c r="F1" s="3"/>
      <c r="G1" s="4"/>
      <c r="H1" s="4"/>
      <c r="I1" s="4"/>
      <c r="J1" s="52"/>
      <c r="K1" s="52"/>
      <c r="L1" s="3"/>
      <c r="M1" s="3"/>
      <c r="N1" s="3"/>
      <c r="O1" s="3"/>
      <c r="P1" s="3"/>
      <c r="Q1" s="3"/>
      <c r="R1" s="3"/>
      <c r="S1" s="3"/>
    </row>
    <row r="2" spans="1:19" s="6" customFormat="1" ht="18" x14ac:dyDescent="0.25">
      <c r="A2" s="12" t="s">
        <v>176</v>
      </c>
      <c r="B2" s="5"/>
      <c r="D2" s="7"/>
      <c r="E2" s="30"/>
      <c r="F2" s="7"/>
      <c r="G2" s="8"/>
      <c r="H2" s="8"/>
      <c r="I2" s="8"/>
      <c r="J2" s="53"/>
      <c r="K2" s="53"/>
      <c r="L2" s="7"/>
      <c r="M2" s="7"/>
      <c r="N2" s="7"/>
      <c r="O2" s="7"/>
      <c r="P2" s="7"/>
      <c r="Q2" s="7"/>
      <c r="R2" s="7"/>
      <c r="S2" s="7"/>
    </row>
    <row r="4" spans="1:19" x14ac:dyDescent="0.2">
      <c r="C4" s="110" t="s">
        <v>144</v>
      </c>
      <c r="D4" s="9"/>
      <c r="E4" s="10"/>
      <c r="H4" s="69" t="s">
        <v>147</v>
      </c>
      <c r="I4" s="10"/>
      <c r="J4" s="10"/>
      <c r="P4" s="69" t="s">
        <v>200</v>
      </c>
    </row>
    <row r="5" spans="1:19" x14ac:dyDescent="0.2">
      <c r="C5" s="111">
        <v>0</v>
      </c>
      <c r="D5" s="20" t="s">
        <v>146</v>
      </c>
      <c r="E5" s="10"/>
      <c r="H5" s="114" t="s">
        <v>18</v>
      </c>
      <c r="I5" s="115" t="s">
        <v>21</v>
      </c>
      <c r="J5" s="10" t="s">
        <v>178</v>
      </c>
      <c r="P5" s="156" t="s">
        <v>201</v>
      </c>
    </row>
    <row r="6" spans="1:19" x14ac:dyDescent="0.2">
      <c r="C6" s="94">
        <v>0</v>
      </c>
      <c r="D6" s="20" t="s">
        <v>141</v>
      </c>
      <c r="E6" s="10"/>
      <c r="H6" s="114" t="s">
        <v>19</v>
      </c>
      <c r="I6" s="115" t="s">
        <v>21</v>
      </c>
      <c r="J6" s="10" t="s">
        <v>179</v>
      </c>
      <c r="P6" s="156" t="s">
        <v>202</v>
      </c>
    </row>
    <row r="7" spans="1:19" x14ac:dyDescent="0.2">
      <c r="C7" s="112">
        <v>0</v>
      </c>
      <c r="D7" s="20" t="s">
        <v>199</v>
      </c>
      <c r="E7" s="10"/>
      <c r="H7" s="114" t="s">
        <v>20</v>
      </c>
      <c r="I7" s="115" t="s">
        <v>21</v>
      </c>
      <c r="J7" s="10" t="s">
        <v>180</v>
      </c>
    </row>
    <row r="8" spans="1:19" x14ac:dyDescent="0.2">
      <c r="C8" s="113">
        <v>0</v>
      </c>
      <c r="D8" s="20" t="s">
        <v>143</v>
      </c>
      <c r="E8" s="10"/>
    </row>
    <row r="9" spans="1:19" x14ac:dyDescent="0.2">
      <c r="E9"/>
      <c r="F9" s="9"/>
    </row>
    <row r="10" spans="1:19" x14ac:dyDescent="0.2">
      <c r="C10" s="36" t="s">
        <v>102</v>
      </c>
      <c r="D10" s="37" t="s">
        <v>105</v>
      </c>
      <c r="E10" s="36" t="s">
        <v>103</v>
      </c>
      <c r="F10" s="37" t="s">
        <v>104</v>
      </c>
      <c r="G10" s="36"/>
      <c r="H10" s="38" t="s">
        <v>18</v>
      </c>
      <c r="I10" s="36"/>
      <c r="J10" s="55" t="s">
        <v>19</v>
      </c>
      <c r="K10" s="55" t="s">
        <v>20</v>
      </c>
      <c r="L10" s="36"/>
      <c r="M10" s="36"/>
      <c r="N10" s="37" t="s">
        <v>31</v>
      </c>
      <c r="P10" s="155" t="s">
        <v>200</v>
      </c>
    </row>
    <row r="11" spans="1:19" x14ac:dyDescent="0.2">
      <c r="C11" s="36"/>
      <c r="D11" s="37"/>
      <c r="E11" s="36"/>
      <c r="F11" s="37"/>
      <c r="G11" s="89"/>
      <c r="H11" s="38"/>
      <c r="I11" s="89"/>
      <c r="J11" s="55"/>
      <c r="K11" s="55"/>
      <c r="L11" s="89"/>
      <c r="M11" s="89"/>
      <c r="N11" s="37"/>
    </row>
    <row r="12" spans="1:19" x14ac:dyDescent="0.2">
      <c r="C12" s="66" t="s">
        <v>41</v>
      </c>
      <c r="D12" s="64" t="s">
        <v>0</v>
      </c>
      <c r="E12" s="67" t="s">
        <v>1</v>
      </c>
      <c r="F12" s="152">
        <v>0</v>
      </c>
      <c r="H12" s="107">
        <v>40</v>
      </c>
      <c r="J12" s="65">
        <v>10</v>
      </c>
      <c r="K12" s="65">
        <v>100</v>
      </c>
      <c r="N12" s="116" t="s">
        <v>112</v>
      </c>
      <c r="P12" s="152"/>
    </row>
    <row r="13" spans="1:19" x14ac:dyDescent="0.2">
      <c r="D13" s="20"/>
      <c r="E13" s="32"/>
      <c r="F13" s="68" t="str">
        <f>IF(F17&lt;0,"WARNING TOTAL ABOVE 100%","")</f>
        <v/>
      </c>
      <c r="H13" s="39"/>
      <c r="N13" s="20"/>
      <c r="P13" s="158"/>
    </row>
    <row r="14" spans="1:19" ht="15.75" customHeight="1" x14ac:dyDescent="0.2">
      <c r="C14" s="170" t="s">
        <v>6</v>
      </c>
      <c r="D14" s="45" t="s">
        <v>25</v>
      </c>
      <c r="E14" s="41" t="s">
        <v>106</v>
      </c>
      <c r="F14" s="151">
        <v>0</v>
      </c>
      <c r="H14" s="43"/>
      <c r="J14" s="56">
        <v>0</v>
      </c>
      <c r="K14" s="56">
        <v>80</v>
      </c>
      <c r="N14" s="117" t="s">
        <v>162</v>
      </c>
      <c r="P14" s="148"/>
    </row>
    <row r="15" spans="1:19" x14ac:dyDescent="0.2">
      <c r="C15" s="171"/>
      <c r="D15" s="10" t="s">
        <v>26</v>
      </c>
      <c r="E15" s="32" t="s">
        <v>106</v>
      </c>
      <c r="F15" s="147">
        <v>0</v>
      </c>
      <c r="H15" s="39"/>
      <c r="J15" s="54">
        <v>0</v>
      </c>
      <c r="K15" s="54">
        <v>80</v>
      </c>
      <c r="N15" s="20" t="s">
        <v>163</v>
      </c>
      <c r="P15" s="149"/>
    </row>
    <row r="16" spans="1:19" x14ac:dyDescent="0.2">
      <c r="C16" s="171"/>
      <c r="D16" s="10" t="s">
        <v>27</v>
      </c>
      <c r="E16" s="32" t="s">
        <v>106</v>
      </c>
      <c r="F16" s="147">
        <v>0</v>
      </c>
      <c r="H16" s="39"/>
      <c r="J16" s="54">
        <v>0</v>
      </c>
      <c r="K16" s="54">
        <v>80</v>
      </c>
      <c r="N16" s="20" t="s">
        <v>164</v>
      </c>
      <c r="P16" s="149"/>
    </row>
    <row r="17" spans="3:16" x14ac:dyDescent="0.2">
      <c r="C17" s="171"/>
      <c r="D17" s="10" t="s">
        <v>207</v>
      </c>
      <c r="E17" s="32" t="s">
        <v>106</v>
      </c>
      <c r="F17" s="93">
        <f>IF(SUM(F14:F16,F18)=0,0,1-SUM(F14:F16,F18))</f>
        <v>0</v>
      </c>
      <c r="H17" s="39"/>
      <c r="J17" s="54">
        <v>0</v>
      </c>
      <c r="K17" s="54">
        <v>80</v>
      </c>
      <c r="N17" s="20" t="s">
        <v>161</v>
      </c>
      <c r="P17" s="149"/>
    </row>
    <row r="18" spans="3:16" x14ac:dyDescent="0.2">
      <c r="C18" s="172"/>
      <c r="D18" s="35" t="s">
        <v>159</v>
      </c>
      <c r="E18" s="42" t="s">
        <v>106</v>
      </c>
      <c r="F18" s="146">
        <v>0</v>
      </c>
      <c r="H18" s="44"/>
      <c r="J18" s="57">
        <v>0</v>
      </c>
      <c r="K18" s="57">
        <v>80</v>
      </c>
      <c r="N18" s="118"/>
      <c r="P18" s="150"/>
    </row>
    <row r="19" spans="3:16" x14ac:dyDescent="0.2">
      <c r="C19" s="23"/>
      <c r="H19" s="39"/>
      <c r="N19" s="20"/>
      <c r="P19" s="158"/>
    </row>
    <row r="20" spans="3:16" x14ac:dyDescent="0.2">
      <c r="C20" s="162" t="s">
        <v>2</v>
      </c>
      <c r="D20" s="45" t="s">
        <v>25</v>
      </c>
      <c r="E20" s="41" t="s">
        <v>24</v>
      </c>
      <c r="F20" s="148">
        <v>0</v>
      </c>
      <c r="H20" s="43">
        <v>60</v>
      </c>
      <c r="J20" s="56">
        <v>20</v>
      </c>
      <c r="K20" s="56">
        <v>200</v>
      </c>
      <c r="N20" s="117" t="s">
        <v>183</v>
      </c>
      <c r="O20" s="132"/>
      <c r="P20" s="148"/>
    </row>
    <row r="21" spans="3:16" x14ac:dyDescent="0.2">
      <c r="C21" s="163"/>
      <c r="D21" s="10" t="s">
        <v>26</v>
      </c>
      <c r="E21" s="32" t="s">
        <v>24</v>
      </c>
      <c r="F21" s="149">
        <v>0</v>
      </c>
      <c r="H21" s="39">
        <v>120</v>
      </c>
      <c r="J21" s="54">
        <v>20</v>
      </c>
      <c r="K21" s="54">
        <v>300</v>
      </c>
      <c r="N21" s="20" t="s">
        <v>184</v>
      </c>
      <c r="O21" s="132"/>
      <c r="P21" s="149"/>
    </row>
    <row r="22" spans="3:16" x14ac:dyDescent="0.2">
      <c r="C22" s="163"/>
      <c r="D22" s="10" t="s">
        <v>27</v>
      </c>
      <c r="E22" s="32" t="s">
        <v>24</v>
      </c>
      <c r="F22" s="149">
        <v>0</v>
      </c>
      <c r="H22" s="39">
        <v>60</v>
      </c>
      <c r="J22" s="54">
        <v>15</v>
      </c>
      <c r="K22" s="54">
        <v>100</v>
      </c>
      <c r="N22" s="20" t="s">
        <v>184</v>
      </c>
      <c r="O22" s="132"/>
      <c r="P22" s="149"/>
    </row>
    <row r="23" spans="3:16" x14ac:dyDescent="0.2">
      <c r="C23" s="163"/>
      <c r="D23" s="10" t="s">
        <v>207</v>
      </c>
      <c r="E23" s="32" t="s">
        <v>24</v>
      </c>
      <c r="F23" s="149">
        <v>0</v>
      </c>
      <c r="H23" s="39">
        <v>50</v>
      </c>
      <c r="J23" s="54">
        <v>15</v>
      </c>
      <c r="K23" s="54">
        <v>100</v>
      </c>
      <c r="N23" s="20" t="s">
        <v>184</v>
      </c>
      <c r="O23" s="132"/>
      <c r="P23" s="149"/>
    </row>
    <row r="24" spans="3:16" x14ac:dyDescent="0.2">
      <c r="C24" s="164"/>
      <c r="D24" s="35" t="s">
        <v>159</v>
      </c>
      <c r="E24" s="42" t="s">
        <v>33</v>
      </c>
      <c r="F24" s="150">
        <v>0</v>
      </c>
      <c r="H24" s="44">
        <v>1</v>
      </c>
      <c r="J24" s="57">
        <v>0</v>
      </c>
      <c r="K24" s="57">
        <v>2</v>
      </c>
      <c r="N24" s="118" t="s">
        <v>32</v>
      </c>
      <c r="P24" s="150"/>
    </row>
    <row r="25" spans="3:16" x14ac:dyDescent="0.2">
      <c r="C25" s="24"/>
      <c r="H25" s="39"/>
      <c r="N25" s="20"/>
      <c r="P25" s="158"/>
    </row>
    <row r="26" spans="3:16" ht="15.75" customHeight="1" x14ac:dyDescent="0.2">
      <c r="C26" s="165" t="s">
        <v>38</v>
      </c>
      <c r="D26" s="46" t="s">
        <v>40</v>
      </c>
      <c r="E26" s="47"/>
      <c r="F26" s="45"/>
      <c r="H26" s="43"/>
      <c r="J26" s="56"/>
      <c r="K26" s="56"/>
      <c r="N26" s="117"/>
      <c r="P26" s="148"/>
    </row>
    <row r="27" spans="3:16" ht="15.75" customHeight="1" x14ac:dyDescent="0.2">
      <c r="C27" s="166"/>
      <c r="D27" s="20" t="s">
        <v>3</v>
      </c>
      <c r="E27" s="32" t="s">
        <v>39</v>
      </c>
      <c r="F27" s="142">
        <v>0</v>
      </c>
      <c r="H27" s="62">
        <v>20</v>
      </c>
      <c r="J27" s="63">
        <v>1</v>
      </c>
      <c r="K27" s="63">
        <v>80</v>
      </c>
      <c r="N27" s="20" t="s">
        <v>111</v>
      </c>
      <c r="P27" s="149"/>
    </row>
    <row r="28" spans="3:16" x14ac:dyDescent="0.2">
      <c r="C28" s="166"/>
      <c r="D28" s="20" t="s">
        <v>4</v>
      </c>
      <c r="E28" s="32" t="s">
        <v>39</v>
      </c>
      <c r="F28" s="142">
        <v>0</v>
      </c>
      <c r="H28" s="62">
        <v>8.5</v>
      </c>
      <c r="J28" s="63">
        <v>0</v>
      </c>
      <c r="K28" s="63">
        <v>14</v>
      </c>
      <c r="N28" s="20" t="s">
        <v>110</v>
      </c>
      <c r="P28" s="149"/>
    </row>
    <row r="29" spans="3:16" x14ac:dyDescent="0.2">
      <c r="C29" s="166"/>
      <c r="D29" s="20" t="s">
        <v>5</v>
      </c>
      <c r="E29" s="32" t="s">
        <v>39</v>
      </c>
      <c r="F29" s="142">
        <v>0</v>
      </c>
      <c r="H29" s="62">
        <v>25</v>
      </c>
      <c r="J29" s="63">
        <v>0</v>
      </c>
      <c r="K29" s="63">
        <v>40</v>
      </c>
      <c r="N29" s="20" t="s">
        <v>156</v>
      </c>
      <c r="P29" s="149"/>
    </row>
    <row r="30" spans="3:16" x14ac:dyDescent="0.2">
      <c r="C30" s="166"/>
      <c r="D30" s="20" t="s">
        <v>42</v>
      </c>
      <c r="E30" s="32" t="s">
        <v>34</v>
      </c>
      <c r="F30" s="147">
        <v>0</v>
      </c>
      <c r="H30" s="39"/>
      <c r="J30" s="160">
        <v>0</v>
      </c>
      <c r="K30" s="160">
        <v>1</v>
      </c>
      <c r="N30" s="20"/>
      <c r="P30" s="157"/>
    </row>
    <row r="31" spans="3:16" x14ac:dyDescent="0.2">
      <c r="C31" s="166"/>
      <c r="D31" s="10" t="s">
        <v>43</v>
      </c>
      <c r="E31" s="32" t="s">
        <v>39</v>
      </c>
      <c r="F31" s="94">
        <f>('Model Inputs'!F27+'Model Inputs'!F28+'Model Inputs'!F29)*'Model Inputs'!F30</f>
        <v>0</v>
      </c>
      <c r="H31" s="39"/>
      <c r="N31" s="20"/>
      <c r="P31" s="158"/>
    </row>
    <row r="32" spans="3:16" x14ac:dyDescent="0.2">
      <c r="C32" s="166"/>
      <c r="E32" s="32"/>
      <c r="F32" s="95"/>
      <c r="H32" s="39"/>
      <c r="N32" s="20"/>
      <c r="P32" s="158"/>
    </row>
    <row r="33" spans="3:16" x14ac:dyDescent="0.2">
      <c r="C33" s="166"/>
      <c r="D33" s="20" t="s">
        <v>7</v>
      </c>
      <c r="E33" s="32" t="s">
        <v>39</v>
      </c>
      <c r="F33" s="142">
        <v>0</v>
      </c>
      <c r="G33" s="10"/>
      <c r="H33" s="39">
        <v>3</v>
      </c>
      <c r="I33" s="10"/>
      <c r="J33" s="54">
        <v>0</v>
      </c>
      <c r="K33" s="54">
        <v>5</v>
      </c>
      <c r="N33" s="136" t="s">
        <v>185</v>
      </c>
      <c r="P33" s="149"/>
    </row>
    <row r="34" spans="3:16" x14ac:dyDescent="0.2">
      <c r="C34" s="166"/>
      <c r="D34" s="20"/>
      <c r="E34" s="32"/>
      <c r="F34" s="48"/>
      <c r="H34" s="39"/>
      <c r="N34" s="20"/>
      <c r="P34" s="158"/>
    </row>
    <row r="35" spans="3:16" x14ac:dyDescent="0.2">
      <c r="C35" s="166"/>
      <c r="D35" s="69" t="s">
        <v>166</v>
      </c>
      <c r="E35" s="32"/>
      <c r="F35" s="48"/>
      <c r="H35" s="39"/>
      <c r="N35" s="20"/>
      <c r="P35" s="158"/>
    </row>
    <row r="36" spans="3:16" x14ac:dyDescent="0.2">
      <c r="C36" s="166"/>
      <c r="D36" s="20" t="s">
        <v>3</v>
      </c>
      <c r="E36" s="32" t="s">
        <v>39</v>
      </c>
      <c r="F36" s="142"/>
      <c r="H36" s="39">
        <v>4</v>
      </c>
      <c r="J36" s="63">
        <v>1</v>
      </c>
      <c r="K36" s="63">
        <v>12</v>
      </c>
      <c r="N36" s="20"/>
      <c r="P36" s="149"/>
    </row>
    <row r="37" spans="3:16" x14ac:dyDescent="0.2">
      <c r="C37" s="166"/>
      <c r="D37" s="20" t="s">
        <v>4</v>
      </c>
      <c r="E37" s="32" t="s">
        <v>39</v>
      </c>
      <c r="F37" s="142">
        <v>0</v>
      </c>
      <c r="H37" s="39">
        <v>1</v>
      </c>
      <c r="J37" s="63">
        <v>0</v>
      </c>
      <c r="K37" s="63">
        <v>14</v>
      </c>
      <c r="N37" s="20"/>
      <c r="P37" s="149"/>
    </row>
    <row r="38" spans="3:16" x14ac:dyDescent="0.2">
      <c r="C38" s="166"/>
      <c r="D38" s="20" t="s">
        <v>5</v>
      </c>
      <c r="E38" s="32" t="s">
        <v>39</v>
      </c>
      <c r="F38" s="142">
        <v>0</v>
      </c>
      <c r="H38" s="39">
        <v>10</v>
      </c>
      <c r="J38" s="63">
        <v>0</v>
      </c>
      <c r="K38" s="63">
        <v>40</v>
      </c>
      <c r="N38" s="20"/>
      <c r="P38" s="149"/>
    </row>
    <row r="39" spans="3:16" x14ac:dyDescent="0.2">
      <c r="C39" s="166"/>
      <c r="D39" s="20" t="s">
        <v>42</v>
      </c>
      <c r="E39" s="32" t="s">
        <v>34</v>
      </c>
      <c r="F39" s="147">
        <v>0</v>
      </c>
      <c r="H39" s="39"/>
      <c r="J39" s="160">
        <v>0</v>
      </c>
      <c r="K39" s="160">
        <v>1</v>
      </c>
      <c r="N39" s="20"/>
      <c r="P39" s="149"/>
    </row>
    <row r="40" spans="3:16" x14ac:dyDescent="0.2">
      <c r="C40" s="166"/>
      <c r="D40" s="10" t="s">
        <v>43</v>
      </c>
      <c r="E40" s="32" t="s">
        <v>39</v>
      </c>
      <c r="F40" s="94">
        <f>('Model Inputs'!F36+'Model Inputs'!F37+'Model Inputs'!F38)*'Model Inputs'!F39</f>
        <v>0</v>
      </c>
      <c r="H40" s="39"/>
      <c r="N40" s="20"/>
      <c r="P40" s="158"/>
    </row>
    <row r="41" spans="3:16" x14ac:dyDescent="0.2">
      <c r="C41" s="166"/>
      <c r="E41" s="33"/>
      <c r="F41" s="95"/>
      <c r="H41" s="39"/>
      <c r="N41" s="20"/>
      <c r="P41" s="158"/>
    </row>
    <row r="42" spans="3:16" x14ac:dyDescent="0.2">
      <c r="C42" s="166"/>
      <c r="D42" s="20" t="s">
        <v>7</v>
      </c>
      <c r="E42" s="32" t="s">
        <v>39</v>
      </c>
      <c r="F42" s="142">
        <v>0</v>
      </c>
      <c r="H42" s="39">
        <v>1.5</v>
      </c>
      <c r="J42" s="54">
        <v>0</v>
      </c>
      <c r="K42" s="54">
        <v>5</v>
      </c>
      <c r="N42" s="136" t="s">
        <v>185</v>
      </c>
      <c r="P42" s="149"/>
    </row>
    <row r="43" spans="3:16" x14ac:dyDescent="0.2">
      <c r="C43" s="166"/>
      <c r="D43" s="20"/>
      <c r="E43" s="32"/>
      <c r="F43" s="49"/>
      <c r="H43" s="39"/>
      <c r="N43" s="20"/>
      <c r="P43" s="158"/>
    </row>
    <row r="44" spans="3:16" x14ac:dyDescent="0.2">
      <c r="C44" s="167"/>
      <c r="D44" s="50" t="s">
        <v>101</v>
      </c>
      <c r="E44" s="42" t="s">
        <v>100</v>
      </c>
      <c r="F44" s="146">
        <v>0</v>
      </c>
      <c r="H44" s="104">
        <v>0.15</v>
      </c>
      <c r="J44" s="133">
        <v>0.05</v>
      </c>
      <c r="K44" s="133">
        <v>0.4</v>
      </c>
      <c r="N44" s="118" t="s">
        <v>167</v>
      </c>
      <c r="P44" s="150"/>
    </row>
    <row r="45" spans="3:16" ht="16" x14ac:dyDescent="0.2">
      <c r="C45" s="20"/>
      <c r="D45" s="20"/>
      <c r="E45" s="32"/>
      <c r="F45" s="96"/>
      <c r="H45" s="39"/>
      <c r="N45" s="20"/>
      <c r="P45" s="158"/>
    </row>
    <row r="46" spans="3:16" ht="15.75" customHeight="1" x14ac:dyDescent="0.2">
      <c r="C46" s="168" t="s">
        <v>107</v>
      </c>
      <c r="D46" s="45" t="s">
        <v>188</v>
      </c>
      <c r="E46" s="47" t="s">
        <v>35</v>
      </c>
      <c r="F46" s="145">
        <v>0</v>
      </c>
      <c r="H46" s="60">
        <v>0.35</v>
      </c>
      <c r="J46" s="61">
        <v>0.1</v>
      </c>
      <c r="K46" s="61">
        <v>0.6</v>
      </c>
      <c r="N46" s="117" t="s">
        <v>168</v>
      </c>
      <c r="P46" s="148"/>
    </row>
    <row r="47" spans="3:16" x14ac:dyDescent="0.2">
      <c r="C47" s="169"/>
      <c r="D47" s="35" t="s">
        <v>36</v>
      </c>
      <c r="E47" s="51" t="s">
        <v>37</v>
      </c>
      <c r="F47" s="144">
        <v>0</v>
      </c>
      <c r="H47" s="58">
        <v>2.5</v>
      </c>
      <c r="J47" s="59">
        <v>1.5</v>
      </c>
      <c r="K47" s="59">
        <v>7</v>
      </c>
      <c r="N47" s="118" t="s">
        <v>109</v>
      </c>
      <c r="P47" s="150"/>
    </row>
    <row r="48" spans="3:16" x14ac:dyDescent="0.2">
      <c r="H48" s="39"/>
      <c r="N48" s="20"/>
      <c r="P48" s="158"/>
    </row>
    <row r="49" spans="3:16" x14ac:dyDescent="0.2">
      <c r="C49" s="162" t="s">
        <v>108</v>
      </c>
      <c r="D49" s="45" t="s">
        <v>93</v>
      </c>
      <c r="E49" s="41" t="s">
        <v>95</v>
      </c>
      <c r="F49" s="143"/>
      <c r="H49" s="43"/>
      <c r="J49" s="56"/>
      <c r="K49" s="56"/>
      <c r="N49" s="117" t="s">
        <v>210</v>
      </c>
      <c r="P49" s="148"/>
    </row>
    <row r="50" spans="3:16" x14ac:dyDescent="0.2">
      <c r="C50" s="163"/>
      <c r="D50" s="10" t="s">
        <v>44</v>
      </c>
      <c r="E50" s="32" t="s">
        <v>94</v>
      </c>
      <c r="F50" s="94">
        <f>IFERROR(INDEX(THI!$C$4:$C$51,MATCH($F$49,THI!$B$4:$B$51,0)),0)</f>
        <v>0</v>
      </c>
      <c r="G50" s="22"/>
      <c r="H50" s="40"/>
      <c r="I50" s="22"/>
      <c r="N50" s="131" t="s">
        <v>99</v>
      </c>
      <c r="P50" s="157"/>
    </row>
    <row r="51" spans="3:16" x14ac:dyDescent="0.2">
      <c r="C51" s="163"/>
      <c r="D51" s="10" t="s">
        <v>169</v>
      </c>
      <c r="E51" s="32" t="s">
        <v>96</v>
      </c>
      <c r="F51" s="94">
        <f>PRODUCT('Model Inputs'!F50,0.02354)</f>
        <v>0</v>
      </c>
      <c r="G51" s="22"/>
      <c r="H51" s="40"/>
      <c r="I51" s="22"/>
      <c r="N51" s="20" t="s">
        <v>208</v>
      </c>
      <c r="P51" s="158"/>
    </row>
    <row r="52" spans="3:16" x14ac:dyDescent="0.2">
      <c r="C52" s="163"/>
      <c r="D52" s="10" t="s">
        <v>97</v>
      </c>
      <c r="E52" s="32" t="s">
        <v>172</v>
      </c>
      <c r="F52" s="141">
        <v>0</v>
      </c>
      <c r="G52" s="22"/>
      <c r="H52" s="39">
        <v>0.5</v>
      </c>
      <c r="I52" s="22"/>
      <c r="J52" s="54">
        <v>0.1</v>
      </c>
      <c r="K52" s="54">
        <v>1</v>
      </c>
      <c r="N52" s="20" t="s">
        <v>170</v>
      </c>
      <c r="P52" s="149"/>
    </row>
    <row r="53" spans="3:16" x14ac:dyDescent="0.2">
      <c r="C53" s="163"/>
      <c r="D53" s="10" t="s">
        <v>171</v>
      </c>
      <c r="E53" s="32" t="s">
        <v>35</v>
      </c>
      <c r="F53" s="142">
        <v>0</v>
      </c>
      <c r="G53" s="22"/>
      <c r="H53" s="39"/>
      <c r="I53" s="22"/>
      <c r="J53" s="54">
        <v>0.2</v>
      </c>
      <c r="K53" s="54">
        <v>3</v>
      </c>
      <c r="N53" s="20" t="s">
        <v>211</v>
      </c>
      <c r="P53" s="149"/>
    </row>
    <row r="54" spans="3:16" x14ac:dyDescent="0.2">
      <c r="C54" s="164"/>
      <c r="D54" s="35" t="s">
        <v>98</v>
      </c>
      <c r="E54" s="42" t="s">
        <v>209</v>
      </c>
      <c r="F54" s="97">
        <f>IFERROR(F51*F52*F53,0)</f>
        <v>0</v>
      </c>
      <c r="G54" s="10"/>
      <c r="H54" s="44"/>
      <c r="J54" s="57"/>
      <c r="K54" s="57"/>
      <c r="N54" s="130" t="s">
        <v>113</v>
      </c>
      <c r="P54" s="159"/>
    </row>
    <row r="55" spans="3:16" x14ac:dyDescent="0.2">
      <c r="E55" s="32"/>
      <c r="F55" s="26"/>
      <c r="G55" s="27"/>
      <c r="H55" s="27"/>
      <c r="I55" s="27"/>
    </row>
    <row r="56" spans="3:16" x14ac:dyDescent="0.2">
      <c r="E56" s="33"/>
    </row>
    <row r="57" spans="3:16" x14ac:dyDescent="0.2">
      <c r="E57" s="34"/>
      <c r="G57" s="10"/>
      <c r="H57" s="10"/>
      <c r="I57" s="10"/>
    </row>
    <row r="58" spans="3:16" x14ac:dyDescent="0.2">
      <c r="G58" s="26"/>
      <c r="H58" s="26"/>
      <c r="I58" s="26"/>
    </row>
    <row r="59" spans="3:16" x14ac:dyDescent="0.2">
      <c r="F59" s="28"/>
      <c r="G59" s="26"/>
      <c r="H59" s="26"/>
      <c r="I59" s="26"/>
    </row>
  </sheetData>
  <sheetProtection algorithmName="SHA-512" hashValue="NWnNPDE1KyGCslEIaOvTg2CNMB/1I0xP0g9uonVDRcSlmWRFnWCNJ7KnlGl5QgZlSufLt94GJpwVoR3Ao4b5uQ==" saltValue="Ka6jkjQaECoDjgnlGiL91w==" spinCount="100000" sheet="1" objects="1" scenarios="1"/>
  <mergeCells count="5">
    <mergeCell ref="C49:C54"/>
    <mergeCell ref="C26:C44"/>
    <mergeCell ref="C20:C24"/>
    <mergeCell ref="C46:C47"/>
    <mergeCell ref="C14:C18"/>
  </mergeCells>
  <dataValidations count="1">
    <dataValidation type="list" allowBlank="1" showInputMessage="1" showErrorMessage="1" sqref="C8" xr:uid="{E8B0201E-C13A-40D4-ACD2-A4F1BED45888}">
      <formula1>$V$6:$V$7</formula1>
    </dataValidation>
  </dataValidations>
  <hyperlinks>
    <hyperlink ref="N50" r:id="rId1" xr:uid="{F6C879CC-50BD-41FB-BCE2-CF50ECF0D241}"/>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A159835-8E2B-4065-851F-0A1A3CCE0D84}">
          <x14:formula1>
            <xm:f>THI!$B$3:$B$51</xm:f>
          </x14:formula1>
          <xm:sqref>F49:G49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BE269-2A35-412C-B6A6-E7CE314C5F95}">
  <dimension ref="B3:E51"/>
  <sheetViews>
    <sheetView workbookViewId="0"/>
  </sheetViews>
  <sheetFormatPr baseColWidth="10" defaultColWidth="8.83203125" defaultRowHeight="15" x14ac:dyDescent="0.2"/>
  <cols>
    <col min="1" max="2" width="8.83203125" style="9"/>
    <col min="3" max="3" width="8.83203125" style="25"/>
    <col min="4" max="16384" width="8.83203125" style="9"/>
  </cols>
  <sheetData>
    <row r="3" spans="2:5" x14ac:dyDescent="0.2">
      <c r="C3" s="25" t="s">
        <v>92</v>
      </c>
      <c r="E3" s="25" t="s">
        <v>212</v>
      </c>
    </row>
    <row r="4" spans="2:5" x14ac:dyDescent="0.2">
      <c r="B4" s="9" t="s">
        <v>45</v>
      </c>
      <c r="C4" s="25">
        <v>8705</v>
      </c>
      <c r="E4" s="138" t="s">
        <v>214</v>
      </c>
    </row>
    <row r="5" spans="2:5" x14ac:dyDescent="0.2">
      <c r="B5" s="9" t="s">
        <v>46</v>
      </c>
      <c r="C5" s="25">
        <v>8112</v>
      </c>
    </row>
    <row r="6" spans="2:5" x14ac:dyDescent="0.2">
      <c r="B6" s="9" t="s">
        <v>47</v>
      </c>
      <c r="C6" s="25">
        <v>5000</v>
      </c>
    </row>
    <row r="7" spans="2:5" x14ac:dyDescent="0.2">
      <c r="B7" s="9" t="s">
        <v>48</v>
      </c>
      <c r="C7" s="25">
        <v>2012</v>
      </c>
    </row>
    <row r="8" spans="2:5" x14ac:dyDescent="0.2">
      <c r="B8" s="9" t="s">
        <v>49</v>
      </c>
      <c r="C8" s="25">
        <v>1221</v>
      </c>
    </row>
    <row r="9" spans="2:5" x14ac:dyDescent="0.2">
      <c r="B9" s="9" t="s">
        <v>50</v>
      </c>
      <c r="C9" s="25">
        <v>1060</v>
      </c>
    </row>
    <row r="10" spans="2:5" x14ac:dyDescent="0.2">
      <c r="B10" s="9" t="s">
        <v>51</v>
      </c>
      <c r="C10" s="25">
        <v>3174</v>
      </c>
    </row>
    <row r="11" spans="2:5" x14ac:dyDescent="0.2">
      <c r="B11" s="9" t="s">
        <v>52</v>
      </c>
      <c r="C11" s="25">
        <v>11508</v>
      </c>
    </row>
    <row r="12" spans="2:5" x14ac:dyDescent="0.2">
      <c r="B12" s="9" t="s">
        <v>53</v>
      </c>
      <c r="C12" s="25">
        <v>7865</v>
      </c>
    </row>
    <row r="13" spans="2:5" x14ac:dyDescent="0.2">
      <c r="B13" s="9" t="s">
        <v>54</v>
      </c>
      <c r="C13" s="25">
        <v>3400</v>
      </c>
    </row>
    <row r="14" spans="2:5" x14ac:dyDescent="0.2">
      <c r="B14" s="9" t="s">
        <v>55</v>
      </c>
      <c r="C14" s="25">
        <v>666</v>
      </c>
    </row>
    <row r="15" spans="2:5" x14ac:dyDescent="0.2">
      <c r="B15" s="9" t="s">
        <v>56</v>
      </c>
      <c r="C15" s="25">
        <v>4070</v>
      </c>
    </row>
    <row r="16" spans="2:5" x14ac:dyDescent="0.2">
      <c r="B16" s="9" t="s">
        <v>57</v>
      </c>
      <c r="C16" s="25">
        <v>3019</v>
      </c>
    </row>
    <row r="17" spans="2:3" x14ac:dyDescent="0.2">
      <c r="B17" s="9" t="s">
        <v>58</v>
      </c>
      <c r="C17" s="25">
        <v>4574</v>
      </c>
    </row>
    <row r="18" spans="2:3" x14ac:dyDescent="0.2">
      <c r="B18" s="9" t="s">
        <v>59</v>
      </c>
      <c r="C18" s="25">
        <v>5671</v>
      </c>
    </row>
    <row r="19" spans="2:3" x14ac:dyDescent="0.2">
      <c r="B19" s="9" t="s">
        <v>60</v>
      </c>
      <c r="C19" s="25">
        <v>13071</v>
      </c>
    </row>
    <row r="20" spans="2:3" x14ac:dyDescent="0.2">
      <c r="B20" s="9" t="s">
        <v>61</v>
      </c>
      <c r="C20" s="25">
        <v>1347</v>
      </c>
    </row>
    <row r="21" spans="2:3" x14ac:dyDescent="0.2">
      <c r="B21" s="9" t="s">
        <v>62</v>
      </c>
      <c r="C21" s="25">
        <v>2935</v>
      </c>
    </row>
    <row r="22" spans="2:3" x14ac:dyDescent="0.2">
      <c r="B22" s="9" t="s">
        <v>63</v>
      </c>
      <c r="C22" s="25">
        <v>554</v>
      </c>
    </row>
    <row r="23" spans="2:3" x14ac:dyDescent="0.2">
      <c r="B23" s="9" t="s">
        <v>64</v>
      </c>
      <c r="C23" s="25">
        <v>1095</v>
      </c>
    </row>
    <row r="24" spans="2:3" x14ac:dyDescent="0.2">
      <c r="B24" s="9" t="s">
        <v>65</v>
      </c>
      <c r="C24" s="25">
        <v>1642</v>
      </c>
    </row>
    <row r="25" spans="2:3" x14ac:dyDescent="0.2">
      <c r="B25" s="9" t="s">
        <v>66</v>
      </c>
      <c r="C25" s="25">
        <v>6334</v>
      </c>
    </row>
    <row r="26" spans="2:3" x14ac:dyDescent="0.2">
      <c r="B26" s="9" t="s">
        <v>67</v>
      </c>
      <c r="C26" s="25">
        <v>10448</v>
      </c>
    </row>
    <row r="27" spans="2:3" x14ac:dyDescent="0.2">
      <c r="B27" s="9" t="s">
        <v>68</v>
      </c>
      <c r="C27" s="25">
        <v>660</v>
      </c>
    </row>
    <row r="28" spans="2:3" x14ac:dyDescent="0.2">
      <c r="B28" s="9" t="s">
        <v>69</v>
      </c>
      <c r="C28" s="25">
        <v>4650</v>
      </c>
    </row>
    <row r="29" spans="2:3" x14ac:dyDescent="0.2">
      <c r="B29" s="9" t="s">
        <v>70</v>
      </c>
      <c r="C29" s="25">
        <v>1475</v>
      </c>
    </row>
    <row r="30" spans="2:3" x14ac:dyDescent="0.2">
      <c r="B30" s="9" t="s">
        <v>71</v>
      </c>
      <c r="C30" s="25">
        <v>4879</v>
      </c>
    </row>
    <row r="31" spans="2:3" x14ac:dyDescent="0.2">
      <c r="B31" s="9" t="s">
        <v>72</v>
      </c>
      <c r="C31" s="25">
        <v>2305</v>
      </c>
    </row>
    <row r="32" spans="2:3" x14ac:dyDescent="0.2">
      <c r="B32" s="9" t="s">
        <v>73</v>
      </c>
      <c r="C32" s="25">
        <v>1730</v>
      </c>
    </row>
    <row r="33" spans="2:3" x14ac:dyDescent="0.2">
      <c r="B33" s="9" t="s">
        <v>74</v>
      </c>
      <c r="C33" s="25">
        <v>4559</v>
      </c>
    </row>
    <row r="34" spans="2:3" x14ac:dyDescent="0.2">
      <c r="B34" s="9" t="s">
        <v>213</v>
      </c>
      <c r="C34" s="25">
        <v>1109</v>
      </c>
    </row>
    <row r="35" spans="2:3" x14ac:dyDescent="0.2">
      <c r="B35" s="9" t="s">
        <v>75</v>
      </c>
      <c r="C35" s="25">
        <v>923</v>
      </c>
    </row>
    <row r="36" spans="2:3" x14ac:dyDescent="0.2">
      <c r="B36" s="9" t="s">
        <v>76</v>
      </c>
      <c r="C36" s="25">
        <v>2247</v>
      </c>
    </row>
    <row r="37" spans="2:3" x14ac:dyDescent="0.2">
      <c r="B37" s="9" t="s">
        <v>77</v>
      </c>
      <c r="C37" s="25">
        <v>9642</v>
      </c>
    </row>
    <row r="38" spans="2:3" x14ac:dyDescent="0.2">
      <c r="B38" s="9" t="s">
        <v>78</v>
      </c>
      <c r="C38" s="25">
        <v>1207</v>
      </c>
    </row>
    <row r="39" spans="2:3" x14ac:dyDescent="0.2">
      <c r="B39" s="9" t="s">
        <v>79</v>
      </c>
      <c r="C39" s="25">
        <v>2252</v>
      </c>
    </row>
    <row r="40" spans="2:3" x14ac:dyDescent="0.2">
      <c r="B40" s="9" t="s">
        <v>80</v>
      </c>
      <c r="C40" s="25">
        <v>900</v>
      </c>
    </row>
    <row r="41" spans="2:3" x14ac:dyDescent="0.2">
      <c r="B41" s="9" t="s">
        <v>81</v>
      </c>
      <c r="C41" s="25">
        <v>6257</v>
      </c>
    </row>
    <row r="42" spans="2:3" x14ac:dyDescent="0.2">
      <c r="B42" s="9" t="s">
        <v>82</v>
      </c>
      <c r="C42" s="25">
        <v>3568</v>
      </c>
    </row>
    <row r="43" spans="2:3" x14ac:dyDescent="0.2">
      <c r="B43" s="9" t="s">
        <v>83</v>
      </c>
      <c r="C43" s="25">
        <v>5322</v>
      </c>
    </row>
    <row r="44" spans="2:3" x14ac:dyDescent="0.2">
      <c r="B44" s="9" t="s">
        <v>84</v>
      </c>
      <c r="C44" s="25">
        <v>12842</v>
      </c>
    </row>
    <row r="45" spans="2:3" x14ac:dyDescent="0.2">
      <c r="B45" s="9" t="s">
        <v>85</v>
      </c>
      <c r="C45" s="25">
        <v>875</v>
      </c>
    </row>
    <row r="46" spans="2:3" x14ac:dyDescent="0.2">
      <c r="B46" s="9" t="s">
        <v>86</v>
      </c>
      <c r="C46" s="25">
        <v>4393</v>
      </c>
    </row>
    <row r="47" spans="2:3" x14ac:dyDescent="0.2">
      <c r="B47" s="9" t="s">
        <v>87</v>
      </c>
      <c r="C47" s="25">
        <v>815</v>
      </c>
    </row>
    <row r="48" spans="2:3" x14ac:dyDescent="0.2">
      <c r="B48" s="9" t="s">
        <v>88</v>
      </c>
      <c r="C48" s="25">
        <v>1160</v>
      </c>
    </row>
    <row r="49" spans="2:3" x14ac:dyDescent="0.2">
      <c r="B49" s="9" t="s">
        <v>89</v>
      </c>
      <c r="C49" s="25">
        <v>1251</v>
      </c>
    </row>
    <row r="50" spans="2:3" x14ac:dyDescent="0.2">
      <c r="B50" s="9" t="s">
        <v>90</v>
      </c>
      <c r="C50" s="25">
        <v>3084</v>
      </c>
    </row>
    <row r="51" spans="2:3" x14ac:dyDescent="0.2">
      <c r="B51" s="9" t="s">
        <v>91</v>
      </c>
      <c r="C51" s="25">
        <v>436</v>
      </c>
    </row>
  </sheetData>
  <sheetProtection algorithmName="SHA-512" hashValue="F6KMZbnVXsRzve26diM/8bqdgvgQPv/IcadafTlsBjq9A987BgQPA58AWc3bxNPl5fdafnlDUhdshjtZem5ohw==" saltValue="3l/BQ0ojKVbDRCwY/ryn3w==" spinCount="100000" sheet="1" objects="1" scenarios="1"/>
  <hyperlinks>
    <hyperlink ref="E4" r:id="rId1" xr:uid="{2B35CD64-6F8F-4F0A-ADB2-F579EF2B860F}"/>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371F-CD12-49A7-8465-38EC7923A641}">
  <dimension ref="A1:U990"/>
  <sheetViews>
    <sheetView zoomScale="80" zoomScaleNormal="80" workbookViewId="0">
      <selection activeCell="C26" sqref="C26"/>
    </sheetView>
  </sheetViews>
  <sheetFormatPr baseColWidth="10" defaultColWidth="12.5" defaultRowHeight="15" customHeight="1" x14ac:dyDescent="0.2"/>
  <cols>
    <col min="1" max="1" width="49" style="9" bestFit="1" customWidth="1"/>
    <col min="2" max="2" width="7.33203125" style="26" customWidth="1"/>
    <col min="3" max="8" width="6.5" style="26" customWidth="1"/>
    <col min="9" max="9" width="8.33203125" style="26" customWidth="1"/>
    <col min="10" max="10" width="8.1640625" style="26" customWidth="1"/>
    <col min="11" max="12" width="7.5" style="26" bestFit="1" customWidth="1"/>
    <col min="13" max="19" width="6.5" style="26" customWidth="1"/>
    <col min="20" max="20" width="7.83203125" style="26" customWidth="1"/>
    <col min="21" max="21" width="6.5" style="26" customWidth="1"/>
    <col min="22" max="30" width="7.5" style="9" customWidth="1"/>
    <col min="31" max="16384" width="12.5" style="9"/>
  </cols>
  <sheetData>
    <row r="1" spans="1:21" ht="16.5" customHeight="1" x14ac:dyDescent="0.2">
      <c r="F1" s="70"/>
      <c r="G1" s="70"/>
    </row>
    <row r="2" spans="1:21" ht="16.5" customHeight="1" x14ac:dyDescent="0.2">
      <c r="F2" s="70"/>
      <c r="G2" s="70"/>
    </row>
    <row r="3" spans="1:21" ht="16.5" customHeight="1" x14ac:dyDescent="0.2">
      <c r="B3" s="71" t="s">
        <v>8</v>
      </c>
      <c r="C3" s="71">
        <v>2</v>
      </c>
      <c r="D3" s="71">
        <v>3</v>
      </c>
      <c r="E3" s="71">
        <v>4</v>
      </c>
      <c r="F3" s="71">
        <v>5</v>
      </c>
      <c r="G3" s="71">
        <v>6</v>
      </c>
      <c r="H3" s="71">
        <v>7</v>
      </c>
      <c r="I3" s="71">
        <v>8</v>
      </c>
      <c r="J3" s="71">
        <v>9</v>
      </c>
      <c r="K3" s="71">
        <v>10</v>
      </c>
      <c r="L3" s="71">
        <v>11</v>
      </c>
      <c r="M3" s="71">
        <v>12</v>
      </c>
      <c r="N3" s="71">
        <v>13</v>
      </c>
      <c r="O3" s="71">
        <v>14</v>
      </c>
      <c r="P3" s="71">
        <v>15</v>
      </c>
      <c r="Q3" s="71">
        <v>16</v>
      </c>
      <c r="R3" s="71">
        <v>17</v>
      </c>
      <c r="S3" s="71">
        <v>18</v>
      </c>
      <c r="T3" s="71">
        <v>19</v>
      </c>
      <c r="U3" s="71">
        <v>20</v>
      </c>
    </row>
    <row r="4" spans="1:21" ht="16.5" customHeight="1" x14ac:dyDescent="0.2">
      <c r="A4" s="9" t="s">
        <v>9</v>
      </c>
      <c r="B4" s="26">
        <v>0</v>
      </c>
      <c r="C4" s="26">
        <v>0</v>
      </c>
      <c r="D4" s="26">
        <v>0</v>
      </c>
      <c r="E4" s="26">
        <v>0</v>
      </c>
      <c r="F4" s="26">
        <f>0.3*'Model Inputs'!$F$20</f>
        <v>0</v>
      </c>
      <c r="G4" s="26">
        <f>0.3*'Model Inputs'!$F$20</f>
        <v>0</v>
      </c>
      <c r="H4" s="26">
        <f>0.98*'Model Inputs'!$F$20</f>
        <v>0</v>
      </c>
      <c r="I4" s="26">
        <f>0.98*'Model Inputs'!$F$20</f>
        <v>0</v>
      </c>
      <c r="J4" s="26">
        <f>'Model Inputs'!$F$20</f>
        <v>0</v>
      </c>
      <c r="K4" s="26">
        <f>'Model Inputs'!$F$20</f>
        <v>0</v>
      </c>
      <c r="L4" s="26">
        <f>'Model Inputs'!$F$20</f>
        <v>0</v>
      </c>
      <c r="M4" s="26">
        <f>'Model Inputs'!$F$20</f>
        <v>0</v>
      </c>
      <c r="N4" s="26">
        <f>'Model Inputs'!$F$20</f>
        <v>0</v>
      </c>
      <c r="O4" s="26">
        <f>'Model Inputs'!$F$20</f>
        <v>0</v>
      </c>
      <c r="P4" s="26">
        <f>'Model Inputs'!$F$20</f>
        <v>0</v>
      </c>
      <c r="Q4" s="26">
        <f>'Model Inputs'!$F$20</f>
        <v>0</v>
      </c>
      <c r="R4" s="26">
        <f>'Model Inputs'!$F$20</f>
        <v>0</v>
      </c>
      <c r="S4" s="26">
        <f>'Model Inputs'!$F$20</f>
        <v>0</v>
      </c>
      <c r="T4" s="26">
        <f>'Model Inputs'!$F$20</f>
        <v>0</v>
      </c>
      <c r="U4" s="26">
        <f>'Model Inputs'!$F$20</f>
        <v>0</v>
      </c>
    </row>
    <row r="5" spans="1:21" ht="16.5" customHeight="1" x14ac:dyDescent="0.2">
      <c r="A5" s="9" t="s">
        <v>28</v>
      </c>
      <c r="B5" s="26">
        <v>0</v>
      </c>
      <c r="C5" s="26">
        <v>0</v>
      </c>
      <c r="D5" s="26">
        <v>0</v>
      </c>
      <c r="E5" s="26">
        <v>0</v>
      </c>
      <c r="F5" s="26">
        <f>'Model Inputs'!$F$21*0.05</f>
        <v>0</v>
      </c>
      <c r="G5" s="26">
        <f>'Model Inputs'!$F$21*0.1</f>
        <v>0</v>
      </c>
      <c r="H5" s="26">
        <f>'Model Inputs'!$F$21*0.2</f>
        <v>0</v>
      </c>
      <c r="I5" s="26">
        <f>'Model Inputs'!$F$21*0.3</f>
        <v>0</v>
      </c>
      <c r="J5" s="26">
        <f>'Model Inputs'!$F$21*0.4</f>
        <v>0</v>
      </c>
      <c r="K5" s="26">
        <f>'Model Inputs'!$F$21*0.5</f>
        <v>0</v>
      </c>
      <c r="L5" s="26">
        <f>'Model Inputs'!$F$21*0.6</f>
        <v>0</v>
      </c>
      <c r="M5" s="26">
        <f>'Model Inputs'!$F$21*0.7</f>
        <v>0</v>
      </c>
      <c r="N5" s="26">
        <f>'Model Inputs'!$F$21*0.8</f>
        <v>0</v>
      </c>
      <c r="O5" s="26">
        <f>'Model Inputs'!$F$21*0.9</f>
        <v>0</v>
      </c>
      <c r="P5" s="26">
        <f>'Model Inputs'!$F$21</f>
        <v>0</v>
      </c>
      <c r="Q5" s="26">
        <f>'Model Inputs'!$F$21</f>
        <v>0</v>
      </c>
      <c r="R5" s="26">
        <f>'Model Inputs'!$F$21</f>
        <v>0</v>
      </c>
      <c r="S5" s="26">
        <f>'Model Inputs'!$F$21</f>
        <v>0</v>
      </c>
      <c r="T5" s="26">
        <f>'Model Inputs'!$F$21</f>
        <v>0</v>
      </c>
      <c r="U5" s="26">
        <f>'Model Inputs'!$F$21</f>
        <v>0</v>
      </c>
    </row>
    <row r="6" spans="1:21" ht="16.5" customHeight="1" x14ac:dyDescent="0.2">
      <c r="A6" s="9" t="s">
        <v>29</v>
      </c>
      <c r="B6" s="26">
        <v>0</v>
      </c>
      <c r="C6" s="26">
        <v>0</v>
      </c>
      <c r="D6" s="26">
        <v>0</v>
      </c>
      <c r="E6" s="26">
        <v>0</v>
      </c>
      <c r="F6" s="26">
        <f>'Model Inputs'!$F$22*0.05</f>
        <v>0</v>
      </c>
      <c r="G6" s="26">
        <f>'Model Inputs'!$F$22*0.1</f>
        <v>0</v>
      </c>
      <c r="H6" s="26">
        <f>'Model Inputs'!$F$22*0.2</f>
        <v>0</v>
      </c>
      <c r="I6" s="26">
        <f>'Model Inputs'!$F$22*0.3</f>
        <v>0</v>
      </c>
      <c r="J6" s="26">
        <f>'Model Inputs'!$F$22*0.4</f>
        <v>0</v>
      </c>
      <c r="K6" s="26">
        <f>'Model Inputs'!$F$22*0.5</f>
        <v>0</v>
      </c>
      <c r="L6" s="26">
        <f>'Model Inputs'!$F$22*0.6</f>
        <v>0</v>
      </c>
      <c r="M6" s="26">
        <f>'Model Inputs'!$F$22*0.7</f>
        <v>0</v>
      </c>
      <c r="N6" s="26">
        <f>'Model Inputs'!$F$22*0.8</f>
        <v>0</v>
      </c>
      <c r="O6" s="26">
        <f>'Model Inputs'!$F$22*0.9</f>
        <v>0</v>
      </c>
      <c r="P6" s="26">
        <f>'Model Inputs'!$F$22</f>
        <v>0</v>
      </c>
      <c r="Q6" s="26">
        <f>'Model Inputs'!$F$22</f>
        <v>0</v>
      </c>
      <c r="R6" s="26">
        <f>'Model Inputs'!$F$22</f>
        <v>0</v>
      </c>
      <c r="S6" s="26">
        <f>'Model Inputs'!$F$22</f>
        <v>0</v>
      </c>
      <c r="T6" s="26">
        <f>'Model Inputs'!$F$22</f>
        <v>0</v>
      </c>
      <c r="U6" s="26">
        <f>'Model Inputs'!$F$22</f>
        <v>0</v>
      </c>
    </row>
    <row r="7" spans="1:21" ht="16.5" customHeight="1" x14ac:dyDescent="0.2">
      <c r="A7" s="9" t="s">
        <v>30</v>
      </c>
      <c r="B7" s="26">
        <v>0</v>
      </c>
      <c r="C7" s="26">
        <v>0</v>
      </c>
      <c r="D7" s="26">
        <v>0</v>
      </c>
      <c r="E7" s="26">
        <v>0</v>
      </c>
      <c r="F7" s="26">
        <f>'Model Inputs'!$F$23*0.05</f>
        <v>0</v>
      </c>
      <c r="G7" s="26">
        <f>'Model Inputs'!$F$23*0.1</f>
        <v>0</v>
      </c>
      <c r="H7" s="26">
        <f>'Model Inputs'!$F$23*0.2</f>
        <v>0</v>
      </c>
      <c r="I7" s="26">
        <f>'Model Inputs'!$F$23*0.3</f>
        <v>0</v>
      </c>
      <c r="J7" s="26">
        <f>'Model Inputs'!$F$23*0.4</f>
        <v>0</v>
      </c>
      <c r="K7" s="26">
        <f>'Model Inputs'!$F$23*0.5</f>
        <v>0</v>
      </c>
      <c r="L7" s="26">
        <f>'Model Inputs'!$F$23*0.6</f>
        <v>0</v>
      </c>
      <c r="M7" s="26">
        <f>'Model Inputs'!$F$23*0.7</f>
        <v>0</v>
      </c>
      <c r="N7" s="26">
        <f>'Model Inputs'!$F$23*0.8</f>
        <v>0</v>
      </c>
      <c r="O7" s="26">
        <f>'Model Inputs'!$F$23*0.9</f>
        <v>0</v>
      </c>
      <c r="P7" s="26">
        <f>'Model Inputs'!$F$23</f>
        <v>0</v>
      </c>
      <c r="Q7" s="26">
        <f>'Model Inputs'!$F$23</f>
        <v>0</v>
      </c>
      <c r="R7" s="26">
        <f>'Model Inputs'!$F$23</f>
        <v>0</v>
      </c>
      <c r="S7" s="26">
        <f>'Model Inputs'!$F$23</f>
        <v>0</v>
      </c>
      <c r="T7" s="26">
        <f>'Model Inputs'!$F$23</f>
        <v>0</v>
      </c>
      <c r="U7" s="26">
        <f>'Model Inputs'!$F$23</f>
        <v>0</v>
      </c>
    </row>
    <row r="8" spans="1:21" ht="16.5" customHeight="1" x14ac:dyDescent="0.2">
      <c r="A8" s="9" t="s">
        <v>11</v>
      </c>
      <c r="B8" s="73">
        <v>0</v>
      </c>
      <c r="C8" s="73">
        <v>0</v>
      </c>
      <c r="D8" s="73">
        <v>0</v>
      </c>
      <c r="E8" s="73">
        <v>0</v>
      </c>
      <c r="F8" s="73">
        <v>0</v>
      </c>
      <c r="G8" s="73">
        <f>PRODUCT('Model Inputs'!$F$24,0.6)</f>
        <v>0</v>
      </c>
      <c r="H8" s="73">
        <f>PRODUCT('Model Inputs'!$F$24,0.6)</f>
        <v>0</v>
      </c>
      <c r="I8" s="73">
        <f>PRODUCT('Model Inputs'!$F$24,0.6)</f>
        <v>0</v>
      </c>
      <c r="J8" s="73">
        <f>PRODUCT('Model Inputs'!$F$24,0.6)</f>
        <v>0</v>
      </c>
      <c r="K8" s="73">
        <f>PRODUCT('Model Inputs'!$F$24,0.6)</f>
        <v>0</v>
      </c>
      <c r="L8" s="73">
        <f>PRODUCT('Model Inputs'!$F$24)</f>
        <v>0</v>
      </c>
      <c r="M8" s="73">
        <f>PRODUCT('Model Inputs'!$F$24)</f>
        <v>0</v>
      </c>
      <c r="N8" s="73">
        <f>PRODUCT('Model Inputs'!$F$24)</f>
        <v>0</v>
      </c>
      <c r="O8" s="73">
        <f>PRODUCT('Model Inputs'!$F$24)</f>
        <v>0</v>
      </c>
      <c r="P8" s="73">
        <f>PRODUCT('Model Inputs'!$F$24)</f>
        <v>0</v>
      </c>
      <c r="Q8" s="73">
        <f>PRODUCT('Model Inputs'!$F$24)</f>
        <v>0</v>
      </c>
      <c r="R8" s="73">
        <f>PRODUCT('Model Inputs'!$F$24)</f>
        <v>0</v>
      </c>
      <c r="S8" s="73">
        <f>PRODUCT('Model Inputs'!$F$24)</f>
        <v>0</v>
      </c>
      <c r="T8" s="73">
        <f>PRODUCT('Model Inputs'!$F$24)</f>
        <v>0</v>
      </c>
      <c r="U8" s="73">
        <f>PRODUCT('Model Inputs'!$F$24)</f>
        <v>0</v>
      </c>
    </row>
    <row r="9" spans="1:21" ht="16.5" customHeight="1" x14ac:dyDescent="0.2">
      <c r="U9" s="72"/>
    </row>
    <row r="10" spans="1:21" ht="16.5" customHeight="1" x14ac:dyDescent="0.2"/>
    <row r="11" spans="1:21" ht="16.5" customHeight="1" x14ac:dyDescent="0.2"/>
    <row r="12" spans="1:21" ht="16.5" customHeight="1" x14ac:dyDescent="0.2"/>
    <row r="13" spans="1:21" ht="16.5" customHeight="1" x14ac:dyDescent="0.2">
      <c r="A13" s="74"/>
      <c r="B13" s="75"/>
      <c r="C13" s="75"/>
      <c r="D13" s="75"/>
      <c r="E13" s="75"/>
      <c r="F13" s="75"/>
      <c r="G13" s="75"/>
      <c r="H13" s="75"/>
    </row>
    <row r="14" spans="1:21" ht="16.5" customHeight="1" x14ac:dyDescent="0.2"/>
    <row r="15" spans="1:21" ht="16.5" customHeight="1" x14ac:dyDescent="0.2"/>
    <row r="16" spans="1:21"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row r="486" ht="16.5" customHeight="1" x14ac:dyDescent="0.2"/>
    <row r="487" ht="16.5" customHeight="1" x14ac:dyDescent="0.2"/>
    <row r="488" ht="16.5" customHeight="1" x14ac:dyDescent="0.2"/>
    <row r="489" ht="16.5" customHeight="1" x14ac:dyDescent="0.2"/>
    <row r="490" ht="16.5" customHeight="1" x14ac:dyDescent="0.2"/>
    <row r="491" ht="16.5" customHeight="1" x14ac:dyDescent="0.2"/>
    <row r="492" ht="16.5" customHeight="1" x14ac:dyDescent="0.2"/>
    <row r="493" ht="16.5" customHeight="1" x14ac:dyDescent="0.2"/>
    <row r="494" ht="16.5" customHeight="1" x14ac:dyDescent="0.2"/>
    <row r="495" ht="16.5" customHeight="1" x14ac:dyDescent="0.2"/>
    <row r="496" ht="16.5" customHeight="1" x14ac:dyDescent="0.2"/>
    <row r="497" ht="16.5" customHeight="1" x14ac:dyDescent="0.2"/>
    <row r="498" ht="16.5" customHeight="1" x14ac:dyDescent="0.2"/>
    <row r="499" ht="16.5" customHeight="1" x14ac:dyDescent="0.2"/>
    <row r="500" ht="16.5" customHeight="1" x14ac:dyDescent="0.2"/>
    <row r="501" ht="16.5" customHeight="1" x14ac:dyDescent="0.2"/>
    <row r="502" ht="16.5" customHeight="1" x14ac:dyDescent="0.2"/>
    <row r="503" ht="16.5" customHeight="1" x14ac:dyDescent="0.2"/>
    <row r="504" ht="16.5" customHeight="1" x14ac:dyDescent="0.2"/>
    <row r="505" ht="16.5" customHeight="1" x14ac:dyDescent="0.2"/>
    <row r="506" ht="16.5" customHeight="1" x14ac:dyDescent="0.2"/>
    <row r="507" ht="16.5" customHeight="1" x14ac:dyDescent="0.2"/>
    <row r="508" ht="16.5" customHeight="1" x14ac:dyDescent="0.2"/>
    <row r="509" ht="16.5" customHeight="1" x14ac:dyDescent="0.2"/>
    <row r="510" ht="16.5" customHeight="1" x14ac:dyDescent="0.2"/>
    <row r="511" ht="16.5" customHeight="1" x14ac:dyDescent="0.2"/>
    <row r="512" ht="16.5" customHeight="1" x14ac:dyDescent="0.2"/>
    <row r="513" ht="16.5" customHeight="1" x14ac:dyDescent="0.2"/>
    <row r="514" ht="16.5" customHeight="1" x14ac:dyDescent="0.2"/>
    <row r="515" ht="16.5" customHeight="1" x14ac:dyDescent="0.2"/>
    <row r="516" ht="16.5" customHeight="1" x14ac:dyDescent="0.2"/>
    <row r="517" ht="16.5" customHeight="1" x14ac:dyDescent="0.2"/>
    <row r="518" ht="16.5" customHeight="1" x14ac:dyDescent="0.2"/>
    <row r="519" ht="16.5" customHeight="1" x14ac:dyDescent="0.2"/>
    <row r="520" ht="16.5" customHeight="1" x14ac:dyDescent="0.2"/>
    <row r="521" ht="16.5" customHeight="1" x14ac:dyDescent="0.2"/>
    <row r="522" ht="16.5" customHeight="1" x14ac:dyDescent="0.2"/>
    <row r="523" ht="16.5" customHeight="1" x14ac:dyDescent="0.2"/>
    <row r="524" ht="16.5" customHeight="1" x14ac:dyDescent="0.2"/>
    <row r="525" ht="16.5" customHeight="1" x14ac:dyDescent="0.2"/>
    <row r="526" ht="16.5" customHeight="1" x14ac:dyDescent="0.2"/>
    <row r="527" ht="16.5" customHeight="1" x14ac:dyDescent="0.2"/>
    <row r="528" ht="16.5" customHeight="1" x14ac:dyDescent="0.2"/>
    <row r="529" ht="16.5" customHeight="1" x14ac:dyDescent="0.2"/>
    <row r="530" ht="16.5" customHeight="1" x14ac:dyDescent="0.2"/>
    <row r="531" ht="16.5" customHeight="1" x14ac:dyDescent="0.2"/>
    <row r="532" ht="16.5" customHeight="1" x14ac:dyDescent="0.2"/>
    <row r="533" ht="16.5" customHeight="1" x14ac:dyDescent="0.2"/>
    <row r="534" ht="16.5" customHeight="1" x14ac:dyDescent="0.2"/>
    <row r="535" ht="16.5" customHeight="1" x14ac:dyDescent="0.2"/>
    <row r="536" ht="16.5" customHeight="1" x14ac:dyDescent="0.2"/>
    <row r="537" ht="16.5" customHeight="1" x14ac:dyDescent="0.2"/>
    <row r="538" ht="16.5" customHeight="1" x14ac:dyDescent="0.2"/>
    <row r="539" ht="16.5" customHeight="1" x14ac:dyDescent="0.2"/>
    <row r="540" ht="16.5" customHeight="1" x14ac:dyDescent="0.2"/>
    <row r="541" ht="16.5" customHeight="1" x14ac:dyDescent="0.2"/>
    <row r="542" ht="16.5" customHeight="1" x14ac:dyDescent="0.2"/>
    <row r="543" ht="16.5" customHeight="1" x14ac:dyDescent="0.2"/>
    <row r="544" ht="16.5" customHeight="1" x14ac:dyDescent="0.2"/>
    <row r="545" ht="16.5" customHeight="1" x14ac:dyDescent="0.2"/>
    <row r="546" ht="16.5" customHeight="1" x14ac:dyDescent="0.2"/>
    <row r="547" ht="16.5" customHeight="1" x14ac:dyDescent="0.2"/>
    <row r="548" ht="16.5" customHeight="1" x14ac:dyDescent="0.2"/>
    <row r="549" ht="16.5" customHeight="1" x14ac:dyDescent="0.2"/>
    <row r="550" ht="16.5" customHeight="1" x14ac:dyDescent="0.2"/>
    <row r="551" ht="16.5" customHeight="1" x14ac:dyDescent="0.2"/>
    <row r="552" ht="16.5" customHeight="1" x14ac:dyDescent="0.2"/>
    <row r="553" ht="16.5" customHeight="1" x14ac:dyDescent="0.2"/>
    <row r="554" ht="16.5" customHeight="1" x14ac:dyDescent="0.2"/>
    <row r="555" ht="16.5" customHeight="1" x14ac:dyDescent="0.2"/>
    <row r="556" ht="16.5" customHeight="1" x14ac:dyDescent="0.2"/>
    <row r="557" ht="16.5" customHeight="1" x14ac:dyDescent="0.2"/>
    <row r="558" ht="16.5" customHeight="1" x14ac:dyDescent="0.2"/>
    <row r="559" ht="16.5" customHeight="1" x14ac:dyDescent="0.2"/>
    <row r="560" ht="16.5" customHeight="1" x14ac:dyDescent="0.2"/>
    <row r="561" ht="16.5" customHeight="1" x14ac:dyDescent="0.2"/>
    <row r="562" ht="16.5" customHeight="1" x14ac:dyDescent="0.2"/>
    <row r="563" ht="16.5" customHeight="1" x14ac:dyDescent="0.2"/>
    <row r="564" ht="16.5" customHeight="1" x14ac:dyDescent="0.2"/>
    <row r="565" ht="16.5" customHeight="1" x14ac:dyDescent="0.2"/>
    <row r="566" ht="16.5" customHeight="1" x14ac:dyDescent="0.2"/>
    <row r="567" ht="16.5" customHeight="1" x14ac:dyDescent="0.2"/>
    <row r="568" ht="16.5" customHeight="1" x14ac:dyDescent="0.2"/>
    <row r="569" ht="16.5" customHeight="1" x14ac:dyDescent="0.2"/>
    <row r="570" ht="16.5" customHeight="1" x14ac:dyDescent="0.2"/>
    <row r="571" ht="16.5" customHeight="1" x14ac:dyDescent="0.2"/>
    <row r="572" ht="16.5" customHeight="1" x14ac:dyDescent="0.2"/>
    <row r="573" ht="16.5" customHeight="1" x14ac:dyDescent="0.2"/>
    <row r="574" ht="16.5" customHeight="1" x14ac:dyDescent="0.2"/>
    <row r="575" ht="16.5" customHeight="1" x14ac:dyDescent="0.2"/>
    <row r="576" ht="16.5" customHeight="1" x14ac:dyDescent="0.2"/>
    <row r="577" ht="16.5" customHeight="1" x14ac:dyDescent="0.2"/>
    <row r="578" ht="16.5" customHeight="1" x14ac:dyDescent="0.2"/>
    <row r="579" ht="16.5" customHeight="1" x14ac:dyDescent="0.2"/>
    <row r="580" ht="16.5" customHeight="1" x14ac:dyDescent="0.2"/>
    <row r="581" ht="16.5" customHeight="1" x14ac:dyDescent="0.2"/>
    <row r="582" ht="16.5" customHeight="1" x14ac:dyDescent="0.2"/>
    <row r="583" ht="16.5" customHeight="1" x14ac:dyDescent="0.2"/>
    <row r="584" ht="16.5" customHeight="1" x14ac:dyDescent="0.2"/>
    <row r="585" ht="16.5" customHeight="1" x14ac:dyDescent="0.2"/>
    <row r="586" ht="16.5" customHeight="1" x14ac:dyDescent="0.2"/>
    <row r="587" ht="16.5" customHeight="1" x14ac:dyDescent="0.2"/>
    <row r="588" ht="16.5" customHeight="1" x14ac:dyDescent="0.2"/>
    <row r="589" ht="16.5" customHeight="1" x14ac:dyDescent="0.2"/>
    <row r="590" ht="16.5" customHeight="1" x14ac:dyDescent="0.2"/>
    <row r="591" ht="16.5" customHeight="1" x14ac:dyDescent="0.2"/>
    <row r="592" ht="16.5" customHeight="1" x14ac:dyDescent="0.2"/>
    <row r="593" ht="16.5" customHeight="1" x14ac:dyDescent="0.2"/>
    <row r="594" ht="16.5" customHeight="1" x14ac:dyDescent="0.2"/>
    <row r="595" ht="16.5" customHeight="1" x14ac:dyDescent="0.2"/>
    <row r="596" ht="16.5" customHeight="1" x14ac:dyDescent="0.2"/>
    <row r="597" ht="16.5" customHeight="1" x14ac:dyDescent="0.2"/>
    <row r="598" ht="16.5" customHeight="1" x14ac:dyDescent="0.2"/>
    <row r="599" ht="16.5" customHeight="1" x14ac:dyDescent="0.2"/>
    <row r="600" ht="16.5" customHeight="1" x14ac:dyDescent="0.2"/>
    <row r="601" ht="16.5" customHeight="1" x14ac:dyDescent="0.2"/>
    <row r="602" ht="16.5" customHeight="1" x14ac:dyDescent="0.2"/>
    <row r="603" ht="16.5" customHeight="1" x14ac:dyDescent="0.2"/>
    <row r="604" ht="16.5" customHeight="1" x14ac:dyDescent="0.2"/>
    <row r="605" ht="16.5" customHeight="1" x14ac:dyDescent="0.2"/>
    <row r="606" ht="16.5" customHeight="1" x14ac:dyDescent="0.2"/>
    <row r="607" ht="16.5" customHeight="1" x14ac:dyDescent="0.2"/>
    <row r="608" ht="16.5" customHeight="1" x14ac:dyDescent="0.2"/>
    <row r="609" ht="16.5" customHeight="1" x14ac:dyDescent="0.2"/>
    <row r="610" ht="16.5" customHeight="1" x14ac:dyDescent="0.2"/>
    <row r="611" ht="16.5" customHeight="1" x14ac:dyDescent="0.2"/>
    <row r="612" ht="16.5" customHeight="1" x14ac:dyDescent="0.2"/>
    <row r="613" ht="16.5" customHeight="1" x14ac:dyDescent="0.2"/>
    <row r="614" ht="16.5" customHeight="1" x14ac:dyDescent="0.2"/>
    <row r="615" ht="16.5" customHeight="1" x14ac:dyDescent="0.2"/>
    <row r="616" ht="16.5" customHeight="1" x14ac:dyDescent="0.2"/>
    <row r="617" ht="16.5" customHeight="1" x14ac:dyDescent="0.2"/>
    <row r="618" ht="16.5" customHeight="1" x14ac:dyDescent="0.2"/>
    <row r="619" ht="16.5" customHeight="1" x14ac:dyDescent="0.2"/>
    <row r="620" ht="16.5" customHeight="1" x14ac:dyDescent="0.2"/>
    <row r="621" ht="16.5" customHeight="1" x14ac:dyDescent="0.2"/>
    <row r="622" ht="16.5" customHeight="1" x14ac:dyDescent="0.2"/>
    <row r="623" ht="16.5" customHeight="1" x14ac:dyDescent="0.2"/>
    <row r="624" ht="16.5" customHeight="1" x14ac:dyDescent="0.2"/>
    <row r="625" ht="16.5" customHeight="1" x14ac:dyDescent="0.2"/>
    <row r="626" ht="16.5" customHeight="1" x14ac:dyDescent="0.2"/>
    <row r="627" ht="16.5" customHeight="1" x14ac:dyDescent="0.2"/>
    <row r="628" ht="16.5" customHeight="1" x14ac:dyDescent="0.2"/>
    <row r="629" ht="16.5" customHeight="1" x14ac:dyDescent="0.2"/>
    <row r="630" ht="16.5" customHeight="1" x14ac:dyDescent="0.2"/>
    <row r="631" ht="16.5" customHeight="1" x14ac:dyDescent="0.2"/>
    <row r="632" ht="16.5" customHeight="1" x14ac:dyDescent="0.2"/>
    <row r="633" ht="16.5" customHeight="1" x14ac:dyDescent="0.2"/>
    <row r="634" ht="16.5" customHeight="1" x14ac:dyDescent="0.2"/>
    <row r="635" ht="16.5" customHeight="1" x14ac:dyDescent="0.2"/>
    <row r="636" ht="16.5" customHeight="1" x14ac:dyDescent="0.2"/>
    <row r="637" ht="16.5" customHeight="1" x14ac:dyDescent="0.2"/>
    <row r="638" ht="16.5" customHeight="1" x14ac:dyDescent="0.2"/>
    <row r="639" ht="16.5" customHeight="1" x14ac:dyDescent="0.2"/>
    <row r="640" ht="16.5" customHeight="1" x14ac:dyDescent="0.2"/>
    <row r="641" ht="16.5" customHeight="1" x14ac:dyDescent="0.2"/>
    <row r="642" ht="16.5" customHeight="1" x14ac:dyDescent="0.2"/>
    <row r="643" ht="16.5" customHeight="1" x14ac:dyDescent="0.2"/>
    <row r="644" ht="16.5" customHeight="1" x14ac:dyDescent="0.2"/>
    <row r="645" ht="16.5" customHeight="1" x14ac:dyDescent="0.2"/>
    <row r="646" ht="16.5" customHeight="1" x14ac:dyDescent="0.2"/>
    <row r="647" ht="16.5" customHeight="1" x14ac:dyDescent="0.2"/>
    <row r="648" ht="16.5" customHeight="1" x14ac:dyDescent="0.2"/>
    <row r="649" ht="16.5" customHeight="1" x14ac:dyDescent="0.2"/>
    <row r="650" ht="16.5" customHeight="1" x14ac:dyDescent="0.2"/>
    <row r="651" ht="16.5" customHeight="1" x14ac:dyDescent="0.2"/>
    <row r="652" ht="16.5" customHeight="1" x14ac:dyDescent="0.2"/>
    <row r="653" ht="16.5" customHeight="1" x14ac:dyDescent="0.2"/>
    <row r="654" ht="16.5" customHeight="1" x14ac:dyDescent="0.2"/>
    <row r="655" ht="16.5" customHeight="1" x14ac:dyDescent="0.2"/>
    <row r="656" ht="16.5" customHeight="1" x14ac:dyDescent="0.2"/>
    <row r="657" ht="16.5" customHeight="1" x14ac:dyDescent="0.2"/>
    <row r="658" ht="16.5" customHeight="1" x14ac:dyDescent="0.2"/>
    <row r="659" ht="16.5" customHeight="1" x14ac:dyDescent="0.2"/>
    <row r="660" ht="16.5" customHeight="1" x14ac:dyDescent="0.2"/>
    <row r="661" ht="16.5" customHeight="1" x14ac:dyDescent="0.2"/>
    <row r="662" ht="16.5" customHeight="1" x14ac:dyDescent="0.2"/>
    <row r="663" ht="16.5" customHeight="1" x14ac:dyDescent="0.2"/>
    <row r="664" ht="16.5" customHeight="1" x14ac:dyDescent="0.2"/>
    <row r="665" ht="16.5" customHeight="1" x14ac:dyDescent="0.2"/>
    <row r="666" ht="16.5" customHeight="1" x14ac:dyDescent="0.2"/>
    <row r="667" ht="16.5" customHeight="1" x14ac:dyDescent="0.2"/>
    <row r="668" ht="16.5" customHeight="1" x14ac:dyDescent="0.2"/>
    <row r="669" ht="16.5" customHeight="1" x14ac:dyDescent="0.2"/>
    <row r="670" ht="16.5" customHeight="1" x14ac:dyDescent="0.2"/>
    <row r="671" ht="16.5" customHeight="1" x14ac:dyDescent="0.2"/>
    <row r="672" ht="16.5" customHeight="1" x14ac:dyDescent="0.2"/>
    <row r="673" ht="16.5" customHeight="1" x14ac:dyDescent="0.2"/>
    <row r="674" ht="16.5" customHeight="1" x14ac:dyDescent="0.2"/>
    <row r="675" ht="16.5" customHeight="1" x14ac:dyDescent="0.2"/>
    <row r="676" ht="16.5" customHeight="1" x14ac:dyDescent="0.2"/>
    <row r="677" ht="16.5" customHeight="1" x14ac:dyDescent="0.2"/>
    <row r="678" ht="16.5" customHeight="1" x14ac:dyDescent="0.2"/>
    <row r="679" ht="16.5" customHeight="1" x14ac:dyDescent="0.2"/>
    <row r="680" ht="16.5" customHeight="1" x14ac:dyDescent="0.2"/>
    <row r="681" ht="16.5" customHeight="1" x14ac:dyDescent="0.2"/>
    <row r="682" ht="16.5" customHeight="1" x14ac:dyDescent="0.2"/>
    <row r="683" ht="16.5" customHeight="1" x14ac:dyDescent="0.2"/>
    <row r="684" ht="16.5" customHeight="1" x14ac:dyDescent="0.2"/>
    <row r="685" ht="16.5" customHeight="1" x14ac:dyDescent="0.2"/>
    <row r="686" ht="16.5" customHeight="1" x14ac:dyDescent="0.2"/>
    <row r="687" ht="16.5" customHeight="1" x14ac:dyDescent="0.2"/>
    <row r="688" ht="16.5" customHeight="1" x14ac:dyDescent="0.2"/>
    <row r="689" ht="16.5" customHeight="1" x14ac:dyDescent="0.2"/>
    <row r="690" ht="16.5" customHeight="1" x14ac:dyDescent="0.2"/>
    <row r="691" ht="16.5" customHeight="1" x14ac:dyDescent="0.2"/>
    <row r="692" ht="16.5" customHeight="1" x14ac:dyDescent="0.2"/>
    <row r="693" ht="16.5" customHeight="1" x14ac:dyDescent="0.2"/>
    <row r="694" ht="16.5" customHeight="1" x14ac:dyDescent="0.2"/>
    <row r="695" ht="16.5" customHeight="1" x14ac:dyDescent="0.2"/>
    <row r="696" ht="16.5" customHeight="1" x14ac:dyDescent="0.2"/>
    <row r="697" ht="16.5" customHeight="1" x14ac:dyDescent="0.2"/>
    <row r="698" ht="16.5" customHeight="1" x14ac:dyDescent="0.2"/>
    <row r="699" ht="16.5" customHeight="1" x14ac:dyDescent="0.2"/>
    <row r="700" ht="16.5" customHeight="1" x14ac:dyDescent="0.2"/>
    <row r="701" ht="16.5" customHeight="1" x14ac:dyDescent="0.2"/>
    <row r="702" ht="16.5" customHeight="1" x14ac:dyDescent="0.2"/>
    <row r="703" ht="16.5" customHeight="1" x14ac:dyDescent="0.2"/>
    <row r="704" ht="16.5" customHeight="1" x14ac:dyDescent="0.2"/>
    <row r="705" ht="16.5" customHeight="1" x14ac:dyDescent="0.2"/>
    <row r="706" ht="16.5" customHeight="1" x14ac:dyDescent="0.2"/>
    <row r="707" ht="16.5" customHeight="1" x14ac:dyDescent="0.2"/>
    <row r="708" ht="16.5" customHeight="1" x14ac:dyDescent="0.2"/>
    <row r="709" ht="16.5" customHeight="1" x14ac:dyDescent="0.2"/>
    <row r="710" ht="16.5" customHeight="1" x14ac:dyDescent="0.2"/>
    <row r="711" ht="16.5" customHeight="1" x14ac:dyDescent="0.2"/>
    <row r="712" ht="16.5" customHeight="1" x14ac:dyDescent="0.2"/>
    <row r="713" ht="16.5" customHeight="1" x14ac:dyDescent="0.2"/>
    <row r="714" ht="16.5" customHeight="1" x14ac:dyDescent="0.2"/>
    <row r="715" ht="16.5" customHeight="1" x14ac:dyDescent="0.2"/>
    <row r="716" ht="16.5" customHeight="1" x14ac:dyDescent="0.2"/>
    <row r="717" ht="16.5" customHeight="1" x14ac:dyDescent="0.2"/>
    <row r="718" ht="16.5" customHeight="1" x14ac:dyDescent="0.2"/>
    <row r="719" ht="16.5" customHeight="1" x14ac:dyDescent="0.2"/>
    <row r="720" ht="16.5" customHeight="1" x14ac:dyDescent="0.2"/>
    <row r="721" ht="16.5" customHeight="1" x14ac:dyDescent="0.2"/>
    <row r="722" ht="16.5" customHeight="1" x14ac:dyDescent="0.2"/>
    <row r="723" ht="16.5" customHeight="1" x14ac:dyDescent="0.2"/>
    <row r="724" ht="16.5" customHeight="1" x14ac:dyDescent="0.2"/>
    <row r="725" ht="16.5" customHeight="1" x14ac:dyDescent="0.2"/>
    <row r="726" ht="16.5" customHeight="1" x14ac:dyDescent="0.2"/>
    <row r="727" ht="16.5" customHeight="1" x14ac:dyDescent="0.2"/>
    <row r="728" ht="16.5" customHeight="1" x14ac:dyDescent="0.2"/>
    <row r="729" ht="16.5" customHeight="1" x14ac:dyDescent="0.2"/>
    <row r="730" ht="16.5" customHeight="1" x14ac:dyDescent="0.2"/>
    <row r="731" ht="16.5" customHeight="1" x14ac:dyDescent="0.2"/>
    <row r="732" ht="16.5" customHeight="1" x14ac:dyDescent="0.2"/>
    <row r="733" ht="16.5" customHeight="1" x14ac:dyDescent="0.2"/>
    <row r="734" ht="16.5" customHeight="1" x14ac:dyDescent="0.2"/>
    <row r="735" ht="16.5" customHeight="1" x14ac:dyDescent="0.2"/>
    <row r="736" ht="16.5" customHeight="1" x14ac:dyDescent="0.2"/>
    <row r="737" ht="16.5" customHeight="1" x14ac:dyDescent="0.2"/>
    <row r="738" ht="16.5" customHeight="1" x14ac:dyDescent="0.2"/>
    <row r="739" ht="16.5" customHeight="1" x14ac:dyDescent="0.2"/>
    <row r="740" ht="16.5" customHeight="1" x14ac:dyDescent="0.2"/>
    <row r="741" ht="16.5" customHeight="1" x14ac:dyDescent="0.2"/>
    <row r="742" ht="16.5" customHeight="1" x14ac:dyDescent="0.2"/>
    <row r="743" ht="16.5" customHeight="1" x14ac:dyDescent="0.2"/>
    <row r="744" ht="16.5" customHeight="1" x14ac:dyDescent="0.2"/>
    <row r="745" ht="16.5" customHeight="1" x14ac:dyDescent="0.2"/>
    <row r="746" ht="16.5" customHeight="1" x14ac:dyDescent="0.2"/>
    <row r="747" ht="16.5" customHeight="1" x14ac:dyDescent="0.2"/>
    <row r="748" ht="16.5" customHeight="1" x14ac:dyDescent="0.2"/>
    <row r="749" ht="16.5" customHeight="1" x14ac:dyDescent="0.2"/>
    <row r="750" ht="16.5" customHeight="1" x14ac:dyDescent="0.2"/>
    <row r="751" ht="16.5" customHeight="1" x14ac:dyDescent="0.2"/>
    <row r="752" ht="16.5" customHeight="1" x14ac:dyDescent="0.2"/>
    <row r="753" ht="16.5" customHeight="1" x14ac:dyDescent="0.2"/>
    <row r="754" ht="16.5" customHeight="1" x14ac:dyDescent="0.2"/>
    <row r="755" ht="16.5" customHeight="1" x14ac:dyDescent="0.2"/>
    <row r="756" ht="16.5" customHeight="1" x14ac:dyDescent="0.2"/>
    <row r="757" ht="16.5" customHeight="1" x14ac:dyDescent="0.2"/>
    <row r="758" ht="16.5" customHeight="1" x14ac:dyDescent="0.2"/>
    <row r="759" ht="16.5" customHeight="1" x14ac:dyDescent="0.2"/>
    <row r="760" ht="16.5" customHeight="1" x14ac:dyDescent="0.2"/>
    <row r="761" ht="16.5" customHeight="1" x14ac:dyDescent="0.2"/>
    <row r="762" ht="16.5" customHeight="1" x14ac:dyDescent="0.2"/>
    <row r="763" ht="16.5" customHeight="1" x14ac:dyDescent="0.2"/>
    <row r="764" ht="16.5" customHeight="1" x14ac:dyDescent="0.2"/>
    <row r="765" ht="16.5" customHeight="1" x14ac:dyDescent="0.2"/>
    <row r="766" ht="16.5" customHeight="1" x14ac:dyDescent="0.2"/>
    <row r="767" ht="16.5" customHeight="1" x14ac:dyDescent="0.2"/>
    <row r="768" ht="16.5" customHeight="1" x14ac:dyDescent="0.2"/>
    <row r="769" ht="16.5" customHeight="1" x14ac:dyDescent="0.2"/>
    <row r="770" ht="16.5" customHeight="1" x14ac:dyDescent="0.2"/>
    <row r="771" ht="16.5" customHeight="1" x14ac:dyDescent="0.2"/>
    <row r="772" ht="16.5" customHeight="1" x14ac:dyDescent="0.2"/>
    <row r="773" ht="16.5" customHeight="1" x14ac:dyDescent="0.2"/>
    <row r="774" ht="16.5" customHeight="1" x14ac:dyDescent="0.2"/>
    <row r="775" ht="16.5" customHeight="1" x14ac:dyDescent="0.2"/>
    <row r="776" ht="16.5" customHeight="1" x14ac:dyDescent="0.2"/>
    <row r="777" ht="16.5" customHeight="1" x14ac:dyDescent="0.2"/>
    <row r="778" ht="16.5" customHeight="1" x14ac:dyDescent="0.2"/>
    <row r="779" ht="16.5" customHeight="1" x14ac:dyDescent="0.2"/>
    <row r="780" ht="16.5" customHeight="1" x14ac:dyDescent="0.2"/>
    <row r="781" ht="16.5" customHeight="1" x14ac:dyDescent="0.2"/>
    <row r="782" ht="16.5" customHeight="1" x14ac:dyDescent="0.2"/>
    <row r="783" ht="16.5" customHeight="1" x14ac:dyDescent="0.2"/>
    <row r="784" ht="16.5" customHeight="1" x14ac:dyDescent="0.2"/>
    <row r="785" ht="16.5" customHeight="1" x14ac:dyDescent="0.2"/>
    <row r="786" ht="16.5" customHeight="1" x14ac:dyDescent="0.2"/>
    <row r="787" ht="16.5" customHeight="1" x14ac:dyDescent="0.2"/>
    <row r="788" ht="16.5" customHeight="1" x14ac:dyDescent="0.2"/>
    <row r="789" ht="16.5" customHeight="1" x14ac:dyDescent="0.2"/>
    <row r="790" ht="16.5" customHeight="1" x14ac:dyDescent="0.2"/>
    <row r="791" ht="16.5" customHeight="1" x14ac:dyDescent="0.2"/>
    <row r="792" ht="16.5" customHeight="1" x14ac:dyDescent="0.2"/>
    <row r="793" ht="16.5" customHeight="1" x14ac:dyDescent="0.2"/>
    <row r="794" ht="16.5" customHeight="1" x14ac:dyDescent="0.2"/>
    <row r="795" ht="16.5" customHeight="1" x14ac:dyDescent="0.2"/>
    <row r="796" ht="16.5" customHeight="1" x14ac:dyDescent="0.2"/>
    <row r="797" ht="16.5" customHeight="1" x14ac:dyDescent="0.2"/>
    <row r="798" ht="16.5" customHeight="1" x14ac:dyDescent="0.2"/>
    <row r="799" ht="16.5" customHeight="1" x14ac:dyDescent="0.2"/>
    <row r="800" ht="16.5" customHeight="1" x14ac:dyDescent="0.2"/>
    <row r="801" ht="16.5" customHeight="1" x14ac:dyDescent="0.2"/>
    <row r="802" ht="16.5" customHeight="1" x14ac:dyDescent="0.2"/>
    <row r="803" ht="16.5" customHeight="1" x14ac:dyDescent="0.2"/>
    <row r="804" ht="16.5" customHeight="1" x14ac:dyDescent="0.2"/>
    <row r="805" ht="16.5" customHeight="1" x14ac:dyDescent="0.2"/>
    <row r="806" ht="16.5" customHeight="1" x14ac:dyDescent="0.2"/>
    <row r="807" ht="16.5" customHeight="1" x14ac:dyDescent="0.2"/>
    <row r="808" ht="16.5" customHeight="1" x14ac:dyDescent="0.2"/>
    <row r="809" ht="16.5" customHeight="1" x14ac:dyDescent="0.2"/>
    <row r="810" ht="16.5" customHeight="1" x14ac:dyDescent="0.2"/>
    <row r="811" ht="16.5" customHeight="1" x14ac:dyDescent="0.2"/>
    <row r="812" ht="16.5" customHeight="1" x14ac:dyDescent="0.2"/>
    <row r="813" ht="16.5" customHeight="1" x14ac:dyDescent="0.2"/>
    <row r="814" ht="16.5" customHeight="1" x14ac:dyDescent="0.2"/>
    <row r="815" ht="16.5" customHeight="1" x14ac:dyDescent="0.2"/>
    <row r="816" ht="16.5" customHeight="1" x14ac:dyDescent="0.2"/>
    <row r="817" ht="16.5" customHeight="1" x14ac:dyDescent="0.2"/>
    <row r="818" ht="16.5" customHeight="1" x14ac:dyDescent="0.2"/>
    <row r="819" ht="16.5" customHeight="1" x14ac:dyDescent="0.2"/>
    <row r="820" ht="16.5" customHeight="1" x14ac:dyDescent="0.2"/>
    <row r="821" ht="16.5" customHeight="1" x14ac:dyDescent="0.2"/>
    <row r="822" ht="16.5" customHeight="1" x14ac:dyDescent="0.2"/>
    <row r="823" ht="16.5" customHeight="1" x14ac:dyDescent="0.2"/>
    <row r="824" ht="16.5" customHeight="1" x14ac:dyDescent="0.2"/>
    <row r="825" ht="16.5" customHeight="1" x14ac:dyDescent="0.2"/>
    <row r="826" ht="16.5" customHeight="1" x14ac:dyDescent="0.2"/>
    <row r="827" ht="16.5" customHeight="1" x14ac:dyDescent="0.2"/>
    <row r="828" ht="16.5" customHeight="1" x14ac:dyDescent="0.2"/>
    <row r="829" ht="16.5" customHeight="1" x14ac:dyDescent="0.2"/>
    <row r="830" ht="16.5" customHeight="1" x14ac:dyDescent="0.2"/>
    <row r="831" ht="16.5" customHeight="1" x14ac:dyDescent="0.2"/>
    <row r="832" ht="16.5" customHeight="1" x14ac:dyDescent="0.2"/>
    <row r="833" ht="16.5" customHeight="1" x14ac:dyDescent="0.2"/>
    <row r="834" ht="16.5" customHeight="1" x14ac:dyDescent="0.2"/>
    <row r="835" ht="16.5" customHeight="1" x14ac:dyDescent="0.2"/>
    <row r="836" ht="16.5" customHeight="1" x14ac:dyDescent="0.2"/>
    <row r="837" ht="16.5" customHeight="1" x14ac:dyDescent="0.2"/>
    <row r="838" ht="16.5" customHeight="1" x14ac:dyDescent="0.2"/>
    <row r="839" ht="16.5" customHeight="1" x14ac:dyDescent="0.2"/>
    <row r="840" ht="16.5" customHeight="1" x14ac:dyDescent="0.2"/>
    <row r="841" ht="16.5" customHeight="1" x14ac:dyDescent="0.2"/>
    <row r="842" ht="16.5" customHeight="1" x14ac:dyDescent="0.2"/>
    <row r="843" ht="16.5" customHeight="1" x14ac:dyDescent="0.2"/>
    <row r="844" ht="16.5" customHeight="1" x14ac:dyDescent="0.2"/>
    <row r="845" ht="16.5" customHeight="1" x14ac:dyDescent="0.2"/>
    <row r="846" ht="16.5" customHeight="1" x14ac:dyDescent="0.2"/>
    <row r="847" ht="16.5" customHeight="1" x14ac:dyDescent="0.2"/>
    <row r="848" ht="16.5" customHeight="1" x14ac:dyDescent="0.2"/>
    <row r="849" ht="16.5" customHeight="1" x14ac:dyDescent="0.2"/>
    <row r="850" ht="16.5" customHeight="1" x14ac:dyDescent="0.2"/>
    <row r="851" ht="16.5" customHeight="1" x14ac:dyDescent="0.2"/>
    <row r="852" ht="16.5" customHeight="1" x14ac:dyDescent="0.2"/>
    <row r="853" ht="16.5" customHeight="1" x14ac:dyDescent="0.2"/>
    <row r="854" ht="16.5" customHeight="1" x14ac:dyDescent="0.2"/>
    <row r="855" ht="16.5" customHeight="1" x14ac:dyDescent="0.2"/>
    <row r="856" ht="16.5" customHeight="1" x14ac:dyDescent="0.2"/>
    <row r="857" ht="16.5" customHeight="1" x14ac:dyDescent="0.2"/>
    <row r="858" ht="16.5" customHeight="1" x14ac:dyDescent="0.2"/>
    <row r="859" ht="16.5" customHeight="1" x14ac:dyDescent="0.2"/>
    <row r="860" ht="16.5" customHeight="1" x14ac:dyDescent="0.2"/>
    <row r="861" ht="16.5" customHeight="1" x14ac:dyDescent="0.2"/>
    <row r="862" ht="16.5" customHeight="1" x14ac:dyDescent="0.2"/>
    <row r="863" ht="16.5" customHeight="1" x14ac:dyDescent="0.2"/>
    <row r="864" ht="16.5" customHeight="1" x14ac:dyDescent="0.2"/>
    <row r="865" ht="16.5" customHeight="1" x14ac:dyDescent="0.2"/>
    <row r="866" ht="16.5" customHeight="1" x14ac:dyDescent="0.2"/>
    <row r="867" ht="16.5" customHeight="1" x14ac:dyDescent="0.2"/>
    <row r="868" ht="16.5" customHeight="1" x14ac:dyDescent="0.2"/>
    <row r="869" ht="16.5" customHeight="1" x14ac:dyDescent="0.2"/>
    <row r="870" ht="16.5" customHeight="1" x14ac:dyDescent="0.2"/>
    <row r="871" ht="16.5" customHeight="1" x14ac:dyDescent="0.2"/>
    <row r="872" ht="16.5" customHeight="1" x14ac:dyDescent="0.2"/>
    <row r="873" ht="16.5" customHeight="1" x14ac:dyDescent="0.2"/>
    <row r="874" ht="16.5" customHeight="1" x14ac:dyDescent="0.2"/>
    <row r="875" ht="16.5" customHeight="1" x14ac:dyDescent="0.2"/>
    <row r="876" ht="16.5" customHeight="1" x14ac:dyDescent="0.2"/>
    <row r="877" ht="16.5" customHeight="1" x14ac:dyDescent="0.2"/>
    <row r="878" ht="16.5" customHeight="1" x14ac:dyDescent="0.2"/>
    <row r="879" ht="16.5" customHeight="1" x14ac:dyDescent="0.2"/>
    <row r="880" ht="16.5" customHeight="1" x14ac:dyDescent="0.2"/>
    <row r="881" ht="16.5" customHeight="1" x14ac:dyDescent="0.2"/>
    <row r="882" ht="16.5" customHeight="1" x14ac:dyDescent="0.2"/>
    <row r="883" ht="16.5" customHeight="1" x14ac:dyDescent="0.2"/>
    <row r="884" ht="16.5" customHeight="1" x14ac:dyDescent="0.2"/>
    <row r="885" ht="16.5" customHeight="1" x14ac:dyDescent="0.2"/>
    <row r="886" ht="16.5" customHeight="1" x14ac:dyDescent="0.2"/>
    <row r="887" ht="16.5" customHeight="1" x14ac:dyDescent="0.2"/>
    <row r="888" ht="16.5" customHeight="1" x14ac:dyDescent="0.2"/>
    <row r="889" ht="16.5" customHeight="1" x14ac:dyDescent="0.2"/>
    <row r="890" ht="16.5" customHeight="1" x14ac:dyDescent="0.2"/>
    <row r="891" ht="16.5" customHeight="1" x14ac:dyDescent="0.2"/>
    <row r="892" ht="16.5" customHeight="1" x14ac:dyDescent="0.2"/>
    <row r="893" ht="16.5" customHeight="1" x14ac:dyDescent="0.2"/>
    <row r="894" ht="16.5" customHeight="1" x14ac:dyDescent="0.2"/>
    <row r="895" ht="16.5" customHeight="1" x14ac:dyDescent="0.2"/>
    <row r="896" ht="16.5" customHeight="1" x14ac:dyDescent="0.2"/>
    <row r="897" ht="16.5" customHeight="1" x14ac:dyDescent="0.2"/>
    <row r="898" ht="16.5" customHeight="1" x14ac:dyDescent="0.2"/>
    <row r="899" ht="16.5" customHeight="1" x14ac:dyDescent="0.2"/>
    <row r="900" ht="16.5" customHeight="1" x14ac:dyDescent="0.2"/>
    <row r="901" ht="16.5" customHeight="1" x14ac:dyDescent="0.2"/>
    <row r="902" ht="16.5" customHeight="1" x14ac:dyDescent="0.2"/>
    <row r="903" ht="16.5" customHeight="1" x14ac:dyDescent="0.2"/>
    <row r="904" ht="16.5" customHeight="1" x14ac:dyDescent="0.2"/>
    <row r="905" ht="16.5" customHeight="1" x14ac:dyDescent="0.2"/>
    <row r="906" ht="16.5" customHeight="1" x14ac:dyDescent="0.2"/>
    <row r="907" ht="16.5" customHeight="1" x14ac:dyDescent="0.2"/>
    <row r="908" ht="16.5" customHeight="1" x14ac:dyDescent="0.2"/>
    <row r="909" ht="16.5" customHeight="1" x14ac:dyDescent="0.2"/>
    <row r="910" ht="16.5" customHeight="1" x14ac:dyDescent="0.2"/>
    <row r="911" ht="16.5" customHeight="1" x14ac:dyDescent="0.2"/>
    <row r="912" ht="16.5" customHeight="1" x14ac:dyDescent="0.2"/>
    <row r="913" ht="16.5" customHeight="1" x14ac:dyDescent="0.2"/>
    <row r="914" ht="16.5" customHeight="1" x14ac:dyDescent="0.2"/>
    <row r="915" ht="16.5" customHeight="1" x14ac:dyDescent="0.2"/>
    <row r="916" ht="16.5" customHeight="1" x14ac:dyDescent="0.2"/>
    <row r="917" ht="16.5" customHeight="1" x14ac:dyDescent="0.2"/>
    <row r="918" ht="16.5" customHeight="1" x14ac:dyDescent="0.2"/>
    <row r="919" ht="16.5" customHeight="1" x14ac:dyDescent="0.2"/>
    <row r="920" ht="16.5" customHeight="1" x14ac:dyDescent="0.2"/>
    <row r="921" ht="16.5" customHeight="1" x14ac:dyDescent="0.2"/>
    <row r="922" ht="16.5" customHeight="1" x14ac:dyDescent="0.2"/>
    <row r="923" ht="16.5" customHeight="1" x14ac:dyDescent="0.2"/>
    <row r="924" ht="16.5" customHeight="1" x14ac:dyDescent="0.2"/>
    <row r="925" ht="16.5" customHeight="1" x14ac:dyDescent="0.2"/>
    <row r="926" ht="16.5" customHeight="1" x14ac:dyDescent="0.2"/>
    <row r="927" ht="16.5" customHeight="1" x14ac:dyDescent="0.2"/>
    <row r="928" ht="16.5" customHeight="1" x14ac:dyDescent="0.2"/>
    <row r="929" ht="16.5" customHeight="1" x14ac:dyDescent="0.2"/>
    <row r="930" ht="16.5" customHeight="1" x14ac:dyDescent="0.2"/>
    <row r="931" ht="16.5" customHeight="1" x14ac:dyDescent="0.2"/>
    <row r="932" ht="16.5" customHeight="1" x14ac:dyDescent="0.2"/>
    <row r="933" ht="16.5" customHeight="1" x14ac:dyDescent="0.2"/>
    <row r="934" ht="16.5" customHeight="1" x14ac:dyDescent="0.2"/>
    <row r="935" ht="16.5" customHeight="1" x14ac:dyDescent="0.2"/>
    <row r="936" ht="16.5" customHeight="1" x14ac:dyDescent="0.2"/>
    <row r="937" ht="16.5" customHeight="1" x14ac:dyDescent="0.2"/>
    <row r="938" ht="16.5" customHeight="1" x14ac:dyDescent="0.2"/>
    <row r="939" ht="16.5" customHeight="1" x14ac:dyDescent="0.2"/>
    <row r="940" ht="16.5" customHeight="1" x14ac:dyDescent="0.2"/>
    <row r="941" ht="16.5" customHeight="1" x14ac:dyDescent="0.2"/>
    <row r="942" ht="16.5" customHeight="1" x14ac:dyDescent="0.2"/>
    <row r="943" ht="16.5" customHeight="1" x14ac:dyDescent="0.2"/>
    <row r="944" ht="16.5" customHeight="1" x14ac:dyDescent="0.2"/>
    <row r="945" ht="16.5" customHeight="1" x14ac:dyDescent="0.2"/>
    <row r="946" ht="16.5" customHeight="1" x14ac:dyDescent="0.2"/>
    <row r="947" ht="16.5" customHeight="1" x14ac:dyDescent="0.2"/>
    <row r="948" ht="16.5" customHeight="1" x14ac:dyDescent="0.2"/>
    <row r="949" ht="16.5" customHeight="1" x14ac:dyDescent="0.2"/>
    <row r="950" ht="16.5" customHeight="1" x14ac:dyDescent="0.2"/>
    <row r="951" ht="16.5" customHeight="1" x14ac:dyDescent="0.2"/>
    <row r="952" ht="16.5" customHeight="1" x14ac:dyDescent="0.2"/>
    <row r="953" ht="16.5" customHeight="1" x14ac:dyDescent="0.2"/>
    <row r="954" ht="16.5" customHeight="1" x14ac:dyDescent="0.2"/>
    <row r="955" ht="16.5" customHeight="1" x14ac:dyDescent="0.2"/>
    <row r="956" ht="16.5" customHeight="1" x14ac:dyDescent="0.2"/>
    <row r="957" ht="16.5" customHeight="1" x14ac:dyDescent="0.2"/>
    <row r="958" ht="16.5" customHeight="1" x14ac:dyDescent="0.2"/>
    <row r="959" ht="16.5" customHeight="1" x14ac:dyDescent="0.2"/>
    <row r="960" ht="16.5" customHeight="1" x14ac:dyDescent="0.2"/>
    <row r="961" ht="16.5" customHeight="1" x14ac:dyDescent="0.2"/>
    <row r="962" ht="16.5" customHeight="1" x14ac:dyDescent="0.2"/>
    <row r="963" ht="16.5" customHeight="1" x14ac:dyDescent="0.2"/>
    <row r="964" ht="16.5" customHeight="1" x14ac:dyDescent="0.2"/>
    <row r="965" ht="16.5" customHeight="1" x14ac:dyDescent="0.2"/>
    <row r="966" ht="16.5" customHeight="1" x14ac:dyDescent="0.2"/>
    <row r="967" ht="16.5" customHeight="1" x14ac:dyDescent="0.2"/>
    <row r="968" ht="16.5" customHeight="1" x14ac:dyDescent="0.2"/>
    <row r="969" ht="16.5" customHeight="1" x14ac:dyDescent="0.2"/>
    <row r="970" ht="16.5" customHeight="1" x14ac:dyDescent="0.2"/>
    <row r="971" ht="16.5" customHeight="1" x14ac:dyDescent="0.2"/>
    <row r="972" ht="16.5" customHeight="1" x14ac:dyDescent="0.2"/>
    <row r="973" ht="16.5" customHeight="1" x14ac:dyDescent="0.2"/>
    <row r="974" ht="16.5" customHeight="1" x14ac:dyDescent="0.2"/>
    <row r="975" ht="16.5" customHeight="1" x14ac:dyDescent="0.2"/>
    <row r="976" ht="16.5" customHeight="1" x14ac:dyDescent="0.2"/>
    <row r="977" ht="16.5" customHeight="1" x14ac:dyDescent="0.2"/>
    <row r="978" ht="16.5" customHeight="1" x14ac:dyDescent="0.2"/>
    <row r="979" ht="16.5" customHeight="1" x14ac:dyDescent="0.2"/>
    <row r="980" ht="16.5" customHeight="1" x14ac:dyDescent="0.2"/>
    <row r="981" ht="16.5" customHeight="1" x14ac:dyDescent="0.2"/>
    <row r="982" ht="16.5" customHeight="1" x14ac:dyDescent="0.2"/>
    <row r="983" ht="16.5" customHeight="1" x14ac:dyDescent="0.2"/>
    <row r="984" ht="16.5" customHeight="1" x14ac:dyDescent="0.2"/>
    <row r="985" ht="16.5" customHeight="1" x14ac:dyDescent="0.2"/>
    <row r="986" ht="16.5" customHeight="1" x14ac:dyDescent="0.2"/>
    <row r="987" ht="16.5" customHeight="1" x14ac:dyDescent="0.2"/>
    <row r="988" ht="16.5" customHeight="1" x14ac:dyDescent="0.2"/>
    <row r="989" ht="16.5" customHeight="1" x14ac:dyDescent="0.2"/>
    <row r="990" ht="16.5" customHeight="1" x14ac:dyDescent="0.2"/>
  </sheetData>
  <sheetProtection algorithmName="SHA-512" hashValue="HADrQpQLHKGtywmqFYw4l+/af+6QREr7UDwxp0mPmkdiADozfco/gmNeyncHJJm7sRadbxek6AD8qWsd2elviw==" saltValue="JRbH1h75fhPvdlZTA+3CQA==" spinCount="100000" sheet="1" objects="1" scenarios="1"/>
  <pageMargins left="0.7" right="0.7" top="0.75" bottom="0.75" header="0" footer="0"/>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BFF28-E652-4A27-A455-2A4E55AF5537}">
  <sheetPr>
    <tabColor rgb="FF319043"/>
  </sheetPr>
  <dimension ref="A1:X34"/>
  <sheetViews>
    <sheetView showGridLines="0" topLeftCell="C1" zoomScale="80" zoomScaleNormal="80" workbookViewId="0">
      <selection activeCell="M18" sqref="M18"/>
    </sheetView>
  </sheetViews>
  <sheetFormatPr baseColWidth="10" defaultColWidth="8.83203125" defaultRowHeight="15" x14ac:dyDescent="0.2"/>
  <cols>
    <col min="1" max="1" width="1.6640625" style="9" customWidth="1"/>
    <col min="2" max="2" width="2.6640625" style="9" customWidth="1"/>
    <col min="3" max="3" width="37.33203125" style="9" bestFit="1" customWidth="1"/>
    <col min="4" max="23" width="9" style="9" customWidth="1"/>
    <col min="24" max="16384" width="8.83203125" style="9"/>
  </cols>
  <sheetData>
    <row r="1" spans="1:24" s="2" customFormat="1" ht="25" x14ac:dyDescent="0.3">
      <c r="A1" s="11" t="s">
        <v>22</v>
      </c>
      <c r="B1" s="1"/>
      <c r="D1" s="3"/>
      <c r="E1" s="3"/>
      <c r="F1" s="4"/>
      <c r="G1" s="4"/>
      <c r="H1" s="3"/>
      <c r="I1" s="3"/>
      <c r="J1" s="3"/>
      <c r="K1" s="3"/>
      <c r="L1" s="3"/>
      <c r="M1" s="3"/>
      <c r="N1" s="3"/>
      <c r="O1" s="3"/>
      <c r="P1" s="3"/>
      <c r="Q1" s="3"/>
      <c r="R1" s="3"/>
      <c r="S1" s="3"/>
      <c r="T1" s="3"/>
      <c r="U1" s="3"/>
      <c r="V1" s="3"/>
      <c r="W1" s="3"/>
      <c r="X1" s="3"/>
    </row>
    <row r="2" spans="1:24" s="6" customFormat="1" ht="18" x14ac:dyDescent="0.25">
      <c r="A2" s="12" t="s">
        <v>176</v>
      </c>
      <c r="B2" s="5"/>
      <c r="D2" s="7"/>
      <c r="E2" s="7"/>
      <c r="F2" s="8"/>
      <c r="G2" s="8"/>
      <c r="H2" s="7"/>
      <c r="I2" s="7"/>
      <c r="J2" s="7"/>
      <c r="K2" s="7"/>
      <c r="L2" s="7"/>
      <c r="M2" s="7"/>
      <c r="N2" s="7"/>
      <c r="O2" s="7"/>
      <c r="P2" s="7"/>
      <c r="Q2" s="7"/>
      <c r="R2" s="7"/>
      <c r="S2" s="7"/>
      <c r="T2" s="7"/>
      <c r="U2" s="7"/>
      <c r="V2" s="7"/>
      <c r="W2" s="7"/>
      <c r="X2" s="7"/>
    </row>
    <row r="4" spans="1:24" x14ac:dyDescent="0.2">
      <c r="C4" s="76" t="s">
        <v>127</v>
      </c>
      <c r="D4" s="86" t="s">
        <v>174</v>
      </c>
      <c r="F4" s="81" t="s">
        <v>126</v>
      </c>
      <c r="G4" s="2"/>
      <c r="H4" s="2"/>
      <c r="I4" s="2"/>
      <c r="J4" s="82" t="s">
        <v>174</v>
      </c>
    </row>
    <row r="5" spans="1:24" x14ac:dyDescent="0.2">
      <c r="C5" s="92" t="s">
        <v>133</v>
      </c>
      <c r="D5" s="153">
        <f>-SUM($D$16:$W$17)</f>
        <v>0</v>
      </c>
      <c r="F5" s="80" t="s">
        <v>121</v>
      </c>
      <c r="J5" s="153">
        <f>SUM($D$18:$H$22)</f>
        <v>0</v>
      </c>
    </row>
    <row r="6" spans="1:24" x14ac:dyDescent="0.2">
      <c r="C6" s="87" t="s">
        <v>135</v>
      </c>
      <c r="D6" s="153">
        <f>SUM(D25:M25)</f>
        <v>0</v>
      </c>
      <c r="F6" s="80" t="s">
        <v>122</v>
      </c>
      <c r="J6" s="153">
        <f>SUM($I$18:$M$22)</f>
        <v>0</v>
      </c>
    </row>
    <row r="7" spans="1:24" x14ac:dyDescent="0.2">
      <c r="C7" s="87" t="s">
        <v>173</v>
      </c>
      <c r="D7" s="101">
        <f>IFERROR(COUNTIFS(D31:W31,"False")+INDEX($34:$34,MATCH(COUNTIFS(D31:W31,"False"),$15:$15,0)),0)</f>
        <v>0</v>
      </c>
      <c r="F7" s="80" t="s">
        <v>123</v>
      </c>
      <c r="J7" s="153">
        <f>SUM($N$18:$R$21)</f>
        <v>0</v>
      </c>
    </row>
    <row r="8" spans="1:24" x14ac:dyDescent="0.2">
      <c r="C8" s="87" t="s">
        <v>10</v>
      </c>
      <c r="D8" s="102">
        <f>IFERROR(IRR(D25:W25,0.05),0)</f>
        <v>0</v>
      </c>
      <c r="F8" s="80" t="s">
        <v>124</v>
      </c>
      <c r="J8" s="153">
        <f>SUM($S$18:$W$21)</f>
        <v>0</v>
      </c>
    </row>
    <row r="9" spans="1:24" x14ac:dyDescent="0.2">
      <c r="C9" s="87" t="s">
        <v>134</v>
      </c>
      <c r="D9" s="135">
        <f>IFERROR(SUM($D$18:$M$23)/-SUM($D$16:$M$17),0)</f>
        <v>0</v>
      </c>
      <c r="F9" s="79" t="s">
        <v>125</v>
      </c>
      <c r="G9" s="91"/>
      <c r="H9" s="91"/>
      <c r="I9" s="91"/>
      <c r="J9" s="154">
        <f>SUM($D$18:$W$22)</f>
        <v>0</v>
      </c>
    </row>
    <row r="10" spans="1:24" x14ac:dyDescent="0.2">
      <c r="C10" s="88" t="s">
        <v>175</v>
      </c>
      <c r="D10" s="103">
        <f>IFERROR(SUM($D$18:$W$23)/-SUM($D$16:$W$17),0)</f>
        <v>0</v>
      </c>
    </row>
    <row r="14" spans="1:24" x14ac:dyDescent="0.2">
      <c r="D14" s="78" t="s">
        <v>117</v>
      </c>
    </row>
    <row r="15" spans="1:24" x14ac:dyDescent="0.2">
      <c r="C15" s="83" t="s">
        <v>128</v>
      </c>
      <c r="D15" s="84">
        <v>1</v>
      </c>
      <c r="E15" s="84">
        <f>D15+1</f>
        <v>2</v>
      </c>
      <c r="F15" s="84">
        <f t="shared" ref="F15:W15" si="0">E15+1</f>
        <v>3</v>
      </c>
      <c r="G15" s="84">
        <f t="shared" si="0"/>
        <v>4</v>
      </c>
      <c r="H15" s="84">
        <f t="shared" si="0"/>
        <v>5</v>
      </c>
      <c r="I15" s="84">
        <f t="shared" si="0"/>
        <v>6</v>
      </c>
      <c r="J15" s="84">
        <f t="shared" si="0"/>
        <v>7</v>
      </c>
      <c r="K15" s="84">
        <f t="shared" si="0"/>
        <v>8</v>
      </c>
      <c r="L15" s="84">
        <f t="shared" si="0"/>
        <v>9</v>
      </c>
      <c r="M15" s="84">
        <f t="shared" si="0"/>
        <v>10</v>
      </c>
      <c r="N15" s="84">
        <f t="shared" si="0"/>
        <v>11</v>
      </c>
      <c r="O15" s="84">
        <f t="shared" si="0"/>
        <v>12</v>
      </c>
      <c r="P15" s="84">
        <f t="shared" si="0"/>
        <v>13</v>
      </c>
      <c r="Q15" s="84">
        <f t="shared" si="0"/>
        <v>14</v>
      </c>
      <c r="R15" s="84">
        <f t="shared" si="0"/>
        <v>15</v>
      </c>
      <c r="S15" s="84">
        <f t="shared" si="0"/>
        <v>16</v>
      </c>
      <c r="T15" s="84">
        <f t="shared" si="0"/>
        <v>17</v>
      </c>
      <c r="U15" s="84">
        <f t="shared" si="0"/>
        <v>18</v>
      </c>
      <c r="V15" s="84">
        <f t="shared" si="0"/>
        <v>19</v>
      </c>
      <c r="W15" s="85">
        <f t="shared" si="0"/>
        <v>20</v>
      </c>
    </row>
    <row r="16" spans="1:24" x14ac:dyDescent="0.2">
      <c r="C16" s="9" t="s">
        <v>165</v>
      </c>
      <c r="D16" s="98">
        <f>(-'Model Inputs'!F12*'Model Inputs'!F31*SUM('Model Inputs'!$F$14:$F$17))+(-'Model Inputs'!F12*'Model Inputs'!F40*'Model Inputs'!F18)</f>
        <v>0</v>
      </c>
      <c r="E16" s="98">
        <f>(-'Model Inputs'!F33*(SUM('Model Inputs'!$F$14:$F$17))*'Model Inputs'!F12)+(-'Model Inputs'!F18*'Model Inputs'!F42*'Model Inputs'!F12)</f>
        <v>0</v>
      </c>
      <c r="F16" s="98">
        <f>E16</f>
        <v>0</v>
      </c>
      <c r="G16" s="98">
        <f>F16</f>
        <v>0</v>
      </c>
      <c r="H16" s="98">
        <f>G16</f>
        <v>0</v>
      </c>
      <c r="I16" s="99">
        <v>0</v>
      </c>
      <c r="J16" s="99">
        <v>0</v>
      </c>
      <c r="K16" s="99">
        <v>0</v>
      </c>
      <c r="L16" s="99">
        <v>0</v>
      </c>
      <c r="M16" s="99">
        <v>0</v>
      </c>
      <c r="N16" s="99">
        <v>0</v>
      </c>
      <c r="O16" s="99">
        <v>0</v>
      </c>
      <c r="P16" s="99">
        <v>0</v>
      </c>
      <c r="Q16" s="99">
        <v>0</v>
      </c>
      <c r="R16" s="99">
        <v>0</v>
      </c>
      <c r="S16" s="99">
        <v>0</v>
      </c>
      <c r="T16" s="99">
        <v>0</v>
      </c>
      <c r="U16" s="99">
        <v>0</v>
      </c>
      <c r="V16" s="99">
        <v>0</v>
      </c>
      <c r="W16" s="99">
        <v>0</v>
      </c>
    </row>
    <row r="17" spans="3:24" x14ac:dyDescent="0.2">
      <c r="C17" s="9" t="s">
        <v>12</v>
      </c>
      <c r="D17" s="99">
        <v>0</v>
      </c>
      <c r="E17" s="99">
        <v>0</v>
      </c>
      <c r="F17" s="99">
        <f>$D$16*'Model Inputs'!$F$44</f>
        <v>0</v>
      </c>
      <c r="G17" s="99">
        <v>0</v>
      </c>
      <c r="H17" s="99">
        <v>0</v>
      </c>
      <c r="I17" s="100">
        <v>0</v>
      </c>
      <c r="J17" s="99">
        <v>0</v>
      </c>
      <c r="K17" s="99">
        <v>0</v>
      </c>
      <c r="L17" s="99">
        <v>0</v>
      </c>
      <c r="M17" s="99">
        <v>0</v>
      </c>
      <c r="N17" s="98">
        <v>0</v>
      </c>
      <c r="O17" s="99">
        <v>0</v>
      </c>
      <c r="P17" s="99">
        <v>0</v>
      </c>
      <c r="Q17" s="99">
        <v>0</v>
      </c>
      <c r="R17" s="99">
        <v>0</v>
      </c>
      <c r="S17" s="99">
        <v>0</v>
      </c>
      <c r="T17" s="99">
        <v>0</v>
      </c>
      <c r="U17" s="99">
        <v>0</v>
      </c>
      <c r="V17" s="99">
        <v>0</v>
      </c>
      <c r="W17" s="99">
        <v>0</v>
      </c>
    </row>
    <row r="18" spans="3:24" x14ac:dyDescent="0.2">
      <c r="C18" s="9" t="s">
        <v>119</v>
      </c>
      <c r="D18" s="98">
        <f>'Avg Yield per Tree'!B$4*'Model Inputs'!$F$46*'Model Inputs'!$F$12*'Model Inputs'!$F$14</f>
        <v>0</v>
      </c>
      <c r="E18" s="98">
        <f>'Avg Yield per Tree'!C$4*'Model Inputs'!$F$46*'Model Inputs'!$F$12*'Model Inputs'!$F$14+(SUM('Avg Yield per Tree'!C$5:C$7)*'Model Inputs'!$F$46*'Model Inputs'!$F$12*SUM('Model Inputs'!$F$15:$F$17))/2.5</f>
        <v>0</v>
      </c>
      <c r="F18" s="98">
        <f>'Avg Yield per Tree'!D$4*'Model Inputs'!$F$46*'Model Inputs'!$F$12*'Model Inputs'!$F$14+(SUM('Avg Yield per Tree'!D$5:D$7)*'Model Inputs'!$F$46*'Model Inputs'!$F$12*SUM('Model Inputs'!$F$15:$F$17))/2.5</f>
        <v>0</v>
      </c>
      <c r="G18" s="98">
        <f>'Avg Yield per Tree'!E$4*'Model Inputs'!$F$46*'Model Inputs'!$F$12*'Model Inputs'!$F$14+(SUM('Avg Yield per Tree'!E$5:E$7)*'Model Inputs'!$F$46*'Model Inputs'!$F$12*SUM('Model Inputs'!$F$15:$F$17))/2.5</f>
        <v>0</v>
      </c>
      <c r="H18" s="98">
        <f>'Avg Yield per Tree'!F$4*'Model Inputs'!$F$46*'Model Inputs'!$F$12*'Model Inputs'!$F$14</f>
        <v>0</v>
      </c>
      <c r="I18" s="98">
        <f>'Avg Yield per Tree'!G$4*'Model Inputs'!$F$46*'Model Inputs'!$F$12*'Model Inputs'!$F$14</f>
        <v>0</v>
      </c>
      <c r="J18" s="98">
        <f>'Avg Yield per Tree'!H$4*'Model Inputs'!$F$46*'Model Inputs'!$F$12*'Model Inputs'!$F$14</f>
        <v>0</v>
      </c>
      <c r="K18" s="98">
        <f>'Avg Yield per Tree'!I$4*'Model Inputs'!$F$46*'Model Inputs'!$F$12*'Model Inputs'!$F$14</f>
        <v>0</v>
      </c>
      <c r="L18" s="98">
        <f>'Avg Yield per Tree'!J$4*'Model Inputs'!$F$46*'Model Inputs'!$F$12*'Model Inputs'!$F$14</f>
        <v>0</v>
      </c>
      <c r="M18" s="98">
        <f>'Avg Yield per Tree'!K$4*'Model Inputs'!$F$46*'Model Inputs'!$F$12*'Model Inputs'!$F$14</f>
        <v>0</v>
      </c>
      <c r="N18" s="98">
        <f>'Avg Yield per Tree'!L$4*'Model Inputs'!$F$46*'Model Inputs'!$F$12*'Model Inputs'!$F$14</f>
        <v>0</v>
      </c>
      <c r="O18" s="98">
        <f>'Avg Yield per Tree'!M$4*'Model Inputs'!$F$46*'Model Inputs'!$F$12*'Model Inputs'!$F$14</f>
        <v>0</v>
      </c>
      <c r="P18" s="98">
        <f>'Avg Yield per Tree'!N$4*'Model Inputs'!$F$46*'Model Inputs'!$F$12*'Model Inputs'!$F$14</f>
        <v>0</v>
      </c>
      <c r="Q18" s="98">
        <f>'Avg Yield per Tree'!O$4*'Model Inputs'!$F$46*'Model Inputs'!$F$12*'Model Inputs'!$F$14</f>
        <v>0</v>
      </c>
      <c r="R18" s="98">
        <f>'Avg Yield per Tree'!P$4*'Model Inputs'!$F$46*'Model Inputs'!$F$12*'Model Inputs'!$F$14</f>
        <v>0</v>
      </c>
      <c r="S18" s="98">
        <f>'Avg Yield per Tree'!Q$4*'Model Inputs'!$F$46*'Model Inputs'!$F$12*'Model Inputs'!$F$14</f>
        <v>0</v>
      </c>
      <c r="T18" s="98">
        <f>'Avg Yield per Tree'!R$4*'Model Inputs'!$F$46*'Model Inputs'!$F$12*'Model Inputs'!$F$14</f>
        <v>0</v>
      </c>
      <c r="U18" s="98">
        <f>'Avg Yield per Tree'!S$4*'Model Inputs'!$F$46*'Model Inputs'!$F$12*'Model Inputs'!$F$14</f>
        <v>0</v>
      </c>
      <c r="V18" s="98">
        <f>'Avg Yield per Tree'!T$4*'Model Inputs'!$F$46*'Model Inputs'!$F$12*'Model Inputs'!$F$14</f>
        <v>0</v>
      </c>
      <c r="W18" s="98">
        <f>'Avg Yield per Tree'!U$4*'Model Inputs'!$F$46*'Model Inputs'!$F$12*'Model Inputs'!$F$14</f>
        <v>0</v>
      </c>
    </row>
    <row r="19" spans="3:24" x14ac:dyDescent="0.2">
      <c r="C19" s="9" t="s">
        <v>114</v>
      </c>
      <c r="D19" s="98">
        <f>('Avg Yield per Tree'!B5*'Model Inputs'!$F$46*'Model Inputs'!$F$12*'Model Inputs'!$F15)</f>
        <v>0</v>
      </c>
      <c r="E19" s="98">
        <f>('Avg Yield per Tree'!C5*'Model Inputs'!$F$46*'Model Inputs'!$F$12*'Model Inputs'!$F15)</f>
        <v>0</v>
      </c>
      <c r="F19" s="98">
        <f>('Avg Yield per Tree'!D5*'Model Inputs'!$F$46*'Model Inputs'!$F$12*'Model Inputs'!$F15)</f>
        <v>0</v>
      </c>
      <c r="G19" s="98">
        <f>('Avg Yield per Tree'!E5*'Model Inputs'!$F$46*'Model Inputs'!$F$12*'Model Inputs'!$F15)</f>
        <v>0</v>
      </c>
      <c r="H19" s="98">
        <f>('Avg Yield per Tree'!F5*'Model Inputs'!$F$46*'Model Inputs'!$F$12*'Model Inputs'!$F15)</f>
        <v>0</v>
      </c>
      <c r="I19" s="98">
        <f>('Avg Yield per Tree'!G5*'Model Inputs'!$F$46*'Model Inputs'!$F$12*'Model Inputs'!$F15)</f>
        <v>0</v>
      </c>
      <c r="J19" s="98">
        <f>('Avg Yield per Tree'!H5*'Model Inputs'!$F$46*'Model Inputs'!$F$12*'Model Inputs'!$F15)</f>
        <v>0</v>
      </c>
      <c r="K19" s="98">
        <f>('Avg Yield per Tree'!I5*'Model Inputs'!$F$46*'Model Inputs'!$F$12*'Model Inputs'!$F15)</f>
        <v>0</v>
      </c>
      <c r="L19" s="98">
        <f>('Avg Yield per Tree'!J5*'Model Inputs'!$F$46*'Model Inputs'!$F$12*'Model Inputs'!$F15)</f>
        <v>0</v>
      </c>
      <c r="M19" s="98">
        <f>('Avg Yield per Tree'!K5*'Model Inputs'!$F$46*'Model Inputs'!$F$12*'Model Inputs'!$F15)</f>
        <v>0</v>
      </c>
      <c r="N19" s="98">
        <f>('Avg Yield per Tree'!L5*'Model Inputs'!$F$46*'Model Inputs'!$F$12*'Model Inputs'!$F15)</f>
        <v>0</v>
      </c>
      <c r="O19" s="98">
        <f>('Avg Yield per Tree'!M5*'Model Inputs'!$F$46*'Model Inputs'!$F$12*'Model Inputs'!$F15)</f>
        <v>0</v>
      </c>
      <c r="P19" s="98">
        <f>('Avg Yield per Tree'!N5*'Model Inputs'!$F$46*'Model Inputs'!$F$12*'Model Inputs'!$F15)</f>
        <v>0</v>
      </c>
      <c r="Q19" s="98">
        <f>('Avg Yield per Tree'!O5*'Model Inputs'!$F$46*'Model Inputs'!$F$12*'Model Inputs'!$F15)</f>
        <v>0</v>
      </c>
      <c r="R19" s="98">
        <f>('Avg Yield per Tree'!P5*'Model Inputs'!$F$46*'Model Inputs'!$F$12*'Model Inputs'!$F15)</f>
        <v>0</v>
      </c>
      <c r="S19" s="98">
        <f>('Avg Yield per Tree'!Q5*'Model Inputs'!$F$46*'Model Inputs'!$F$12*'Model Inputs'!$F15)</f>
        <v>0</v>
      </c>
      <c r="T19" s="98">
        <f>('Avg Yield per Tree'!R5*'Model Inputs'!$F$46*'Model Inputs'!$F$12*'Model Inputs'!$F15)</f>
        <v>0</v>
      </c>
      <c r="U19" s="98">
        <f>('Avg Yield per Tree'!S5*'Model Inputs'!$F$46*'Model Inputs'!$F$12*'Model Inputs'!$F15)</f>
        <v>0</v>
      </c>
      <c r="V19" s="98">
        <f>('Avg Yield per Tree'!T5*'Model Inputs'!$F$46*'Model Inputs'!$F$12*'Model Inputs'!$F15)</f>
        <v>0</v>
      </c>
      <c r="W19" s="98">
        <f>('Avg Yield per Tree'!U5*'Model Inputs'!$F$46*'Model Inputs'!$F$12*'Model Inputs'!$F15)</f>
        <v>0</v>
      </c>
    </row>
    <row r="20" spans="3:24" x14ac:dyDescent="0.2">
      <c r="C20" s="9" t="s">
        <v>115</v>
      </c>
      <c r="D20" s="98">
        <f>('Avg Yield per Tree'!B6*'Model Inputs'!$F$46*'Model Inputs'!$F$12*'Model Inputs'!$F16)</f>
        <v>0</v>
      </c>
      <c r="E20" s="98">
        <f>('Avg Yield per Tree'!C6*'Model Inputs'!$F$46*'Model Inputs'!$F$12*'Model Inputs'!$F16)</f>
        <v>0</v>
      </c>
      <c r="F20" s="98">
        <f>('Avg Yield per Tree'!D6*'Model Inputs'!$F$46*'Model Inputs'!$F$12*'Model Inputs'!$F16)</f>
        <v>0</v>
      </c>
      <c r="G20" s="98">
        <f>('Avg Yield per Tree'!E6*'Model Inputs'!$F$46*'Model Inputs'!$F$12*'Model Inputs'!$F16)</f>
        <v>0</v>
      </c>
      <c r="H20" s="98">
        <f>('Avg Yield per Tree'!F6*'Model Inputs'!$F$46*'Model Inputs'!$F$12*'Model Inputs'!$F16)</f>
        <v>0</v>
      </c>
      <c r="I20" s="98">
        <f>('Avg Yield per Tree'!G6*'Model Inputs'!$F$46*'Model Inputs'!$F$12*'Model Inputs'!$F16)</f>
        <v>0</v>
      </c>
      <c r="J20" s="98">
        <f>('Avg Yield per Tree'!H6*'Model Inputs'!$F$46*'Model Inputs'!$F$12*'Model Inputs'!$F16)</f>
        <v>0</v>
      </c>
      <c r="K20" s="98">
        <f>('Avg Yield per Tree'!I6*'Model Inputs'!$F$46*'Model Inputs'!$F$12*'Model Inputs'!$F16)</f>
        <v>0</v>
      </c>
      <c r="L20" s="98">
        <f>('Avg Yield per Tree'!J6*'Model Inputs'!$F$46*'Model Inputs'!$F$12*'Model Inputs'!$F16)</f>
        <v>0</v>
      </c>
      <c r="M20" s="98">
        <f>('Avg Yield per Tree'!K6*'Model Inputs'!$F$46*'Model Inputs'!$F$12*'Model Inputs'!$F16)</f>
        <v>0</v>
      </c>
      <c r="N20" s="98">
        <f>('Avg Yield per Tree'!L6*'Model Inputs'!$F$46*'Model Inputs'!$F$12*'Model Inputs'!$F16)</f>
        <v>0</v>
      </c>
      <c r="O20" s="98">
        <f>('Avg Yield per Tree'!M6*'Model Inputs'!$F$46*'Model Inputs'!$F$12*'Model Inputs'!$F16)</f>
        <v>0</v>
      </c>
      <c r="P20" s="98">
        <f>('Avg Yield per Tree'!N6*'Model Inputs'!$F$46*'Model Inputs'!$F$12*'Model Inputs'!$F16)</f>
        <v>0</v>
      </c>
      <c r="Q20" s="98">
        <f>('Avg Yield per Tree'!O6*'Model Inputs'!$F$46*'Model Inputs'!$F$12*'Model Inputs'!$F16)</f>
        <v>0</v>
      </c>
      <c r="R20" s="98">
        <f>('Avg Yield per Tree'!P6*'Model Inputs'!$F$46*'Model Inputs'!$F$12*'Model Inputs'!$F16)</f>
        <v>0</v>
      </c>
      <c r="S20" s="98">
        <f>('Avg Yield per Tree'!Q6*'Model Inputs'!$F$46*'Model Inputs'!$F$12*'Model Inputs'!$F16)</f>
        <v>0</v>
      </c>
      <c r="T20" s="98">
        <f>('Avg Yield per Tree'!R6*'Model Inputs'!$F$46*'Model Inputs'!$F$12*'Model Inputs'!$F16)</f>
        <v>0</v>
      </c>
      <c r="U20" s="98">
        <f>('Avg Yield per Tree'!S6*'Model Inputs'!$F$46*'Model Inputs'!$F$12*'Model Inputs'!$F16)</f>
        <v>0</v>
      </c>
      <c r="V20" s="98">
        <f>('Avg Yield per Tree'!T6*'Model Inputs'!$F$46*'Model Inputs'!$F$12*'Model Inputs'!$F16)</f>
        <v>0</v>
      </c>
      <c r="W20" s="98">
        <f>('Avg Yield per Tree'!U6*'Model Inputs'!$F$46*'Model Inputs'!$F$12*'Model Inputs'!$F16)</f>
        <v>0</v>
      </c>
    </row>
    <row r="21" spans="3:24" x14ac:dyDescent="0.2">
      <c r="C21" s="9" t="s">
        <v>116</v>
      </c>
      <c r="D21" s="98">
        <f>('Avg Yield per Tree'!B7*'Model Inputs'!$F$46*'Model Inputs'!$F$12*'Model Inputs'!$F17)</f>
        <v>0</v>
      </c>
      <c r="E21" s="98">
        <f>('Avg Yield per Tree'!C7*'Model Inputs'!$F$46*'Model Inputs'!$F$12*'Model Inputs'!$F17)</f>
        <v>0</v>
      </c>
      <c r="F21" s="98">
        <f>('Avg Yield per Tree'!D7*'Model Inputs'!$F$46*'Model Inputs'!$F$12*'Model Inputs'!$F17)</f>
        <v>0</v>
      </c>
      <c r="G21" s="98">
        <f>('Avg Yield per Tree'!E7*'Model Inputs'!$F$46*'Model Inputs'!$F$12*'Model Inputs'!$F17)</f>
        <v>0</v>
      </c>
      <c r="H21" s="98">
        <f>('Avg Yield per Tree'!F7*'Model Inputs'!$F$46*'Model Inputs'!$F$12*'Model Inputs'!$F17)</f>
        <v>0</v>
      </c>
      <c r="I21" s="98">
        <f>('Avg Yield per Tree'!G7*'Model Inputs'!$F$46*'Model Inputs'!$F$12*'Model Inputs'!$F17)</f>
        <v>0</v>
      </c>
      <c r="J21" s="98">
        <f>('Avg Yield per Tree'!H7*'Model Inputs'!$F$46*'Model Inputs'!$F$12*'Model Inputs'!$F17)</f>
        <v>0</v>
      </c>
      <c r="K21" s="98">
        <f>('Avg Yield per Tree'!I7*'Model Inputs'!$F$46*'Model Inputs'!$F$12*'Model Inputs'!$F17)</f>
        <v>0</v>
      </c>
      <c r="L21" s="98">
        <f>('Avg Yield per Tree'!J7*'Model Inputs'!$F$46*'Model Inputs'!$F$12*'Model Inputs'!$F17)</f>
        <v>0</v>
      </c>
      <c r="M21" s="98">
        <f>('Avg Yield per Tree'!K7*'Model Inputs'!$F$46*'Model Inputs'!$F$12*'Model Inputs'!$F17)</f>
        <v>0</v>
      </c>
      <c r="N21" s="98">
        <f>('Avg Yield per Tree'!L7*'Model Inputs'!$F$46*'Model Inputs'!$F$12*'Model Inputs'!$F17)</f>
        <v>0</v>
      </c>
      <c r="O21" s="98">
        <f>('Avg Yield per Tree'!M7*'Model Inputs'!$F$46*'Model Inputs'!$F$12*'Model Inputs'!$F17)</f>
        <v>0</v>
      </c>
      <c r="P21" s="98">
        <f>('Avg Yield per Tree'!N7*'Model Inputs'!$F$46*'Model Inputs'!$F$12*'Model Inputs'!$F17)</f>
        <v>0</v>
      </c>
      <c r="Q21" s="98">
        <f>('Avg Yield per Tree'!O7*'Model Inputs'!$F$46*'Model Inputs'!$F$12*'Model Inputs'!$F17)</f>
        <v>0</v>
      </c>
      <c r="R21" s="98">
        <f>('Avg Yield per Tree'!P7*'Model Inputs'!$F$46*'Model Inputs'!$F$12*'Model Inputs'!$F17)</f>
        <v>0</v>
      </c>
      <c r="S21" s="98">
        <f>('Avg Yield per Tree'!Q7*'Model Inputs'!$F$46*'Model Inputs'!$F$12*'Model Inputs'!$F17)</f>
        <v>0</v>
      </c>
      <c r="T21" s="98">
        <f>('Avg Yield per Tree'!R7*'Model Inputs'!$F$46*'Model Inputs'!$F$12*'Model Inputs'!$F17)</f>
        <v>0</v>
      </c>
      <c r="U21" s="98">
        <f>('Avg Yield per Tree'!S7*'Model Inputs'!$F$46*'Model Inputs'!$F$12*'Model Inputs'!$F17)</f>
        <v>0</v>
      </c>
      <c r="V21" s="98">
        <f>('Avg Yield per Tree'!T7*'Model Inputs'!$F$46*'Model Inputs'!$F$12*'Model Inputs'!$F17)</f>
        <v>0</v>
      </c>
      <c r="W21" s="98">
        <f>('Avg Yield per Tree'!U7*'Model Inputs'!$F$46*'Model Inputs'!$F$12*'Model Inputs'!$F17)</f>
        <v>0</v>
      </c>
    </row>
    <row r="22" spans="3:24" x14ac:dyDescent="0.2">
      <c r="C22" s="9" t="s">
        <v>160</v>
      </c>
      <c r="D22" s="99">
        <f>PRODUCT('Avg Yield per Tree'!B8,'Model Inputs'!$F$47,'Model Inputs'!$F$18,'Model Inputs'!$F$12)</f>
        <v>0</v>
      </c>
      <c r="E22" s="99">
        <f>PRODUCT('Avg Yield per Tree'!C8,'Model Inputs'!$F$47,'Model Inputs'!$F$18,'Model Inputs'!$F$12)</f>
        <v>0</v>
      </c>
      <c r="F22" s="99">
        <f>PRODUCT('Avg Yield per Tree'!D8,'Model Inputs'!$F$47,'Model Inputs'!$F$18,'Model Inputs'!$F$12)</f>
        <v>0</v>
      </c>
      <c r="G22" s="99">
        <f>PRODUCT('Avg Yield per Tree'!E8,'Model Inputs'!$F$47,'Model Inputs'!$F$18,'Model Inputs'!$F$12)</f>
        <v>0</v>
      </c>
      <c r="H22" s="99">
        <f>PRODUCT('Avg Yield per Tree'!F8,'Model Inputs'!$F$47,'Model Inputs'!$F$18,'Model Inputs'!$F$12)</f>
        <v>0</v>
      </c>
      <c r="I22" s="99">
        <f>PRODUCT('Avg Yield per Tree'!G8,'Model Inputs'!$F$47,'Model Inputs'!$F$18,'Model Inputs'!$F$12)</f>
        <v>0</v>
      </c>
      <c r="J22" s="99">
        <f>PRODUCT('Avg Yield per Tree'!H8,'Model Inputs'!$F$47,'Model Inputs'!$F$18,'Model Inputs'!$F$12)</f>
        <v>0</v>
      </c>
      <c r="K22" s="99">
        <f>PRODUCT('Avg Yield per Tree'!I8,'Model Inputs'!$F$47,'Model Inputs'!$F$18,'Model Inputs'!$F$12)</f>
        <v>0</v>
      </c>
      <c r="L22" s="99">
        <f>PRODUCT('Avg Yield per Tree'!J8,'Model Inputs'!$F$47,'Model Inputs'!$F$18,'Model Inputs'!$F$12)</f>
        <v>0</v>
      </c>
      <c r="M22" s="99">
        <f>PRODUCT('Avg Yield per Tree'!K8,'Model Inputs'!$F$47,'Model Inputs'!$F$18,'Model Inputs'!$F$12)</f>
        <v>0</v>
      </c>
      <c r="N22" s="99">
        <f>PRODUCT('Avg Yield per Tree'!L8,'Model Inputs'!$F$47,'Model Inputs'!$F$18,'Model Inputs'!$F$12)</f>
        <v>0</v>
      </c>
      <c r="O22" s="99">
        <f>PRODUCT('Avg Yield per Tree'!M8,'Model Inputs'!$F$47,'Model Inputs'!$F$18,'Model Inputs'!$F$12)</f>
        <v>0</v>
      </c>
      <c r="P22" s="99">
        <f>PRODUCT('Avg Yield per Tree'!N8,'Model Inputs'!$F$47,'Model Inputs'!$F$18,'Model Inputs'!$F$12)</f>
        <v>0</v>
      </c>
      <c r="Q22" s="99">
        <f>PRODUCT('Avg Yield per Tree'!O8,'Model Inputs'!$F$47,'Model Inputs'!$F$18,'Model Inputs'!$F$12)</f>
        <v>0</v>
      </c>
      <c r="R22" s="99">
        <f>PRODUCT('Avg Yield per Tree'!P8,'Model Inputs'!$F$47,'Model Inputs'!$F$18,'Model Inputs'!$F$12)</f>
        <v>0</v>
      </c>
      <c r="S22" s="99">
        <f>PRODUCT('Avg Yield per Tree'!Q8,'Model Inputs'!$F$47,'Model Inputs'!$F$18,'Model Inputs'!$F$12)</f>
        <v>0</v>
      </c>
      <c r="T22" s="99">
        <f>PRODUCT('Avg Yield per Tree'!R8,'Model Inputs'!$F$47,'Model Inputs'!$F$18,'Model Inputs'!$F$12)</f>
        <v>0</v>
      </c>
      <c r="U22" s="99">
        <f>PRODUCT('Avg Yield per Tree'!S8,'Model Inputs'!$F$47,'Model Inputs'!$F$18,'Model Inputs'!$F$12)</f>
        <v>0</v>
      </c>
      <c r="V22" s="99">
        <f>PRODUCT('Avg Yield per Tree'!T8,'Model Inputs'!$F$47,'Model Inputs'!$F$18,'Model Inputs'!$F$12)</f>
        <v>0</v>
      </c>
      <c r="W22" s="99">
        <f>PRODUCT('Avg Yield per Tree'!U8,'Model Inputs'!$F$47,'Model Inputs'!$F$18,'Model Inputs'!$F$12)</f>
        <v>0</v>
      </c>
    </row>
    <row r="23" spans="3:24" x14ac:dyDescent="0.2">
      <c r="C23" s="9" t="s">
        <v>118</v>
      </c>
      <c r="D23" s="98">
        <f>IFERROR(0*'Model Inputs'!$F$54,0)</f>
        <v>0</v>
      </c>
      <c r="E23" s="98">
        <f>IFERROR(0*'Model Inputs'!$F$54,0)</f>
        <v>0</v>
      </c>
      <c r="F23" s="98">
        <f>IFERROR(0*'Model Inputs'!$F$54,0)</f>
        <v>0</v>
      </c>
      <c r="G23" s="98">
        <f>IFERROR(0.5*'Model Inputs'!$F$54,0)</f>
        <v>0</v>
      </c>
      <c r="H23" s="98">
        <f>IFERROR(0.5*'Model Inputs'!$F$54,0)</f>
        <v>0</v>
      </c>
      <c r="I23" s="98">
        <f>IFERROR(0.5*'Model Inputs'!$F$54,0)</f>
        <v>0</v>
      </c>
      <c r="J23" s="98">
        <f>IFERROR(1*'Model Inputs'!$F$54,0)</f>
        <v>0</v>
      </c>
      <c r="K23" s="98">
        <f>IFERROR(1*'Model Inputs'!$F$54,0)</f>
        <v>0</v>
      </c>
      <c r="L23" s="98">
        <f>IFERROR(1*'Model Inputs'!$F$54,0)</f>
        <v>0</v>
      </c>
      <c r="M23" s="98">
        <f>IFERROR(1*'Model Inputs'!$F$54,0)</f>
        <v>0</v>
      </c>
      <c r="N23" s="98">
        <f>IFERROR(1*'Model Inputs'!$F$54,0)</f>
        <v>0</v>
      </c>
      <c r="O23" s="98">
        <f>IFERROR(1*'Model Inputs'!$F$54,0)</f>
        <v>0</v>
      </c>
      <c r="P23" s="98">
        <f>IFERROR(1*'Model Inputs'!$F$54,0)</f>
        <v>0</v>
      </c>
      <c r="Q23" s="98">
        <f>IFERROR(1*'Model Inputs'!$F$54,0)</f>
        <v>0</v>
      </c>
      <c r="R23" s="98">
        <f>IFERROR(1*'Model Inputs'!$F$54,0)</f>
        <v>0</v>
      </c>
      <c r="S23" s="98">
        <f>IFERROR(1*'Model Inputs'!$F$54,0)</f>
        <v>0</v>
      </c>
      <c r="T23" s="98">
        <f>IFERROR(1*'Model Inputs'!$F$54,0)</f>
        <v>0</v>
      </c>
      <c r="U23" s="98">
        <f>IFERROR(1*'Model Inputs'!$F$54,0)</f>
        <v>0</v>
      </c>
      <c r="V23" s="98">
        <f>IFERROR(1*'Model Inputs'!$F$54,0)</f>
        <v>0</v>
      </c>
      <c r="W23" s="98">
        <f>IFERROR(1*'Model Inputs'!$F$54,0)</f>
        <v>0</v>
      </c>
    </row>
    <row r="25" spans="3:24" ht="16" thickBot="1" x14ac:dyDescent="0.25">
      <c r="C25" s="90" t="s">
        <v>120</v>
      </c>
      <c r="D25" s="134">
        <f>SUM(D16:D23)</f>
        <v>0</v>
      </c>
      <c r="E25" s="134">
        <f t="shared" ref="E25:W25" si="1">SUM(E16:E23)</f>
        <v>0</v>
      </c>
      <c r="F25" s="134">
        <f t="shared" si="1"/>
        <v>0</v>
      </c>
      <c r="G25" s="134">
        <f t="shared" si="1"/>
        <v>0</v>
      </c>
      <c r="H25" s="134">
        <f t="shared" si="1"/>
        <v>0</v>
      </c>
      <c r="I25" s="134">
        <f t="shared" si="1"/>
        <v>0</v>
      </c>
      <c r="J25" s="134">
        <f t="shared" si="1"/>
        <v>0</v>
      </c>
      <c r="K25" s="134">
        <f t="shared" si="1"/>
        <v>0</v>
      </c>
      <c r="L25" s="134">
        <f t="shared" si="1"/>
        <v>0</v>
      </c>
      <c r="M25" s="134">
        <f t="shared" si="1"/>
        <v>0</v>
      </c>
      <c r="N25" s="134">
        <f t="shared" si="1"/>
        <v>0</v>
      </c>
      <c r="O25" s="134">
        <f t="shared" si="1"/>
        <v>0</v>
      </c>
      <c r="P25" s="134">
        <f t="shared" si="1"/>
        <v>0</v>
      </c>
      <c r="Q25" s="134">
        <f t="shared" si="1"/>
        <v>0</v>
      </c>
      <c r="R25" s="134">
        <f t="shared" si="1"/>
        <v>0</v>
      </c>
      <c r="S25" s="134">
        <f t="shared" si="1"/>
        <v>0</v>
      </c>
      <c r="T25" s="134">
        <f t="shared" si="1"/>
        <v>0</v>
      </c>
      <c r="U25" s="134">
        <f t="shared" si="1"/>
        <v>0</v>
      </c>
      <c r="V25" s="134">
        <f t="shared" si="1"/>
        <v>0</v>
      </c>
      <c r="W25" s="134">
        <f t="shared" si="1"/>
        <v>0</v>
      </c>
    </row>
    <row r="26" spans="3:24" ht="16" thickTop="1" x14ac:dyDescent="0.2"/>
    <row r="28" spans="3:24" x14ac:dyDescent="0.2">
      <c r="X28" s="77"/>
    </row>
    <row r="31" spans="3:24" hidden="1" x14ac:dyDescent="0.2">
      <c r="C31" s="9" t="s">
        <v>129</v>
      </c>
      <c r="D31" s="9" t="b">
        <f>IF(SUM($D$25:D25)&gt;0,TRUE,FALSE)</f>
        <v>0</v>
      </c>
      <c r="E31" s="9" t="b">
        <f>IF(SUM($D$25:E25)&gt;0,TRUE,FALSE)</f>
        <v>0</v>
      </c>
      <c r="F31" s="9" t="b">
        <f>IF(SUM($D$25:F25)&gt;0,TRUE,FALSE)</f>
        <v>0</v>
      </c>
      <c r="G31" s="9" t="b">
        <f>IF(SUM($D$25:G25)&gt;0,TRUE,FALSE)</f>
        <v>0</v>
      </c>
      <c r="H31" s="9" t="b">
        <f>IF(SUM($D$25:H25)&gt;0,TRUE,FALSE)</f>
        <v>0</v>
      </c>
      <c r="I31" s="9" t="b">
        <f>IF(SUM($D$25:I25)&gt;0,TRUE,FALSE)</f>
        <v>0</v>
      </c>
      <c r="J31" s="9" t="b">
        <f>IF(SUM($D$25:J25)&gt;0,TRUE,FALSE)</f>
        <v>0</v>
      </c>
      <c r="K31" s="9" t="b">
        <f>IF(SUM($D$25:K25)&gt;0,TRUE,FALSE)</f>
        <v>0</v>
      </c>
      <c r="L31" s="9" t="b">
        <f>IF(SUM($D$25:L25)&gt;0,TRUE,FALSE)</f>
        <v>0</v>
      </c>
      <c r="M31" s="9" t="b">
        <f>IF(SUM($D$25:M25)&gt;0,TRUE,FALSE)</f>
        <v>0</v>
      </c>
      <c r="N31" s="9" t="b">
        <f>IF(SUM($D$25:N25)&gt;0,TRUE,FALSE)</f>
        <v>0</v>
      </c>
      <c r="O31" s="9" t="b">
        <f>IF(SUM($D$25:O25)&gt;0,TRUE,FALSE)</f>
        <v>0</v>
      </c>
      <c r="P31" s="9" t="b">
        <f>IF(SUM($D$25:P25)&gt;0,TRUE,FALSE)</f>
        <v>0</v>
      </c>
      <c r="Q31" s="9" t="b">
        <f>IF(SUM($D$25:Q25)&gt;0,TRUE,FALSE)</f>
        <v>0</v>
      </c>
      <c r="R31" s="9" t="b">
        <f>IF(SUM($D$25:R25)&gt;0,TRUE,FALSE)</f>
        <v>0</v>
      </c>
      <c r="S31" s="9" t="b">
        <f>IF(SUM($D$25:S25)&gt;0,TRUE,FALSE)</f>
        <v>0</v>
      </c>
      <c r="T31" s="9" t="b">
        <f>IF(SUM($D$25:T25)&gt;0,TRUE,FALSE)</f>
        <v>0</v>
      </c>
      <c r="U31" s="9" t="b">
        <f>IF(SUM($D$25:U25)&gt;0,TRUE,FALSE)</f>
        <v>0</v>
      </c>
      <c r="V31" s="9" t="b">
        <f>IF(SUM($D$25:V25)&gt;0,TRUE,FALSE)</f>
        <v>0</v>
      </c>
      <c r="W31" s="9" t="b">
        <f>IF(SUM($D$25:W25)&gt;0,TRUE,FALSE)</f>
        <v>0</v>
      </c>
    </row>
    <row r="32" spans="3:24" hidden="1" x14ac:dyDescent="0.2">
      <c r="C32" s="9" t="s">
        <v>130</v>
      </c>
      <c r="D32" s="77">
        <f>SUM($D$18:D23)</f>
        <v>0</v>
      </c>
      <c r="E32" s="77">
        <f>SUM($D$18:E23)</f>
        <v>0</v>
      </c>
      <c r="F32" s="77">
        <f>SUM($D$18:F23)</f>
        <v>0</v>
      </c>
      <c r="G32" s="77">
        <f>SUM($D$18:G23)</f>
        <v>0</v>
      </c>
      <c r="H32" s="77">
        <f>SUM($D$18:H23)</f>
        <v>0</v>
      </c>
      <c r="I32" s="77">
        <f>SUM($D$18:I23)</f>
        <v>0</v>
      </c>
      <c r="J32" s="77">
        <f>SUM($D$18:J23)</f>
        <v>0</v>
      </c>
      <c r="K32" s="77">
        <f>SUM($D$18:K23)</f>
        <v>0</v>
      </c>
      <c r="L32" s="77">
        <f>SUM($D$18:L23)</f>
        <v>0</v>
      </c>
      <c r="M32" s="77">
        <f>SUM($D$18:M23)</f>
        <v>0</v>
      </c>
      <c r="N32" s="77">
        <f>SUM($D$18:N23)</f>
        <v>0</v>
      </c>
      <c r="O32" s="77">
        <f>SUM($D$18:O23)</f>
        <v>0</v>
      </c>
      <c r="P32" s="77">
        <f>SUM($D$18:P23)</f>
        <v>0</v>
      </c>
      <c r="Q32" s="77">
        <f>SUM($D$18:Q23)</f>
        <v>0</v>
      </c>
      <c r="R32" s="77">
        <f>SUM($D$18:R23)</f>
        <v>0</v>
      </c>
      <c r="S32" s="77">
        <f>SUM($D$18:S23)</f>
        <v>0</v>
      </c>
      <c r="T32" s="77">
        <f>SUM($D$18:T23)</f>
        <v>0</v>
      </c>
      <c r="U32" s="77">
        <f>SUM($D$18:U23)</f>
        <v>0</v>
      </c>
      <c r="V32" s="77">
        <f>SUM($D$18:V23)</f>
        <v>0</v>
      </c>
      <c r="W32" s="77">
        <f>SUM($D$18:W23)</f>
        <v>0</v>
      </c>
    </row>
    <row r="33" spans="3:23" hidden="1" x14ac:dyDescent="0.2">
      <c r="C33" s="9" t="s">
        <v>131</v>
      </c>
      <c r="D33" s="77">
        <f>-SUM($D$16:$W$17)</f>
        <v>0</v>
      </c>
      <c r="E33" s="77">
        <f t="shared" ref="E33:W33" si="2">-SUM($D$16:$W$17)</f>
        <v>0</v>
      </c>
      <c r="F33" s="77">
        <f t="shared" si="2"/>
        <v>0</v>
      </c>
      <c r="G33" s="77">
        <f t="shared" si="2"/>
        <v>0</v>
      </c>
      <c r="H33" s="77">
        <f t="shared" si="2"/>
        <v>0</v>
      </c>
      <c r="I33" s="77">
        <f t="shared" si="2"/>
        <v>0</v>
      </c>
      <c r="J33" s="77">
        <f t="shared" si="2"/>
        <v>0</v>
      </c>
      <c r="K33" s="77">
        <f t="shared" si="2"/>
        <v>0</v>
      </c>
      <c r="L33" s="77">
        <f t="shared" si="2"/>
        <v>0</v>
      </c>
      <c r="M33" s="77">
        <f t="shared" si="2"/>
        <v>0</v>
      </c>
      <c r="N33" s="77">
        <f t="shared" si="2"/>
        <v>0</v>
      </c>
      <c r="O33" s="77">
        <f t="shared" si="2"/>
        <v>0</v>
      </c>
      <c r="P33" s="77">
        <f t="shared" si="2"/>
        <v>0</v>
      </c>
      <c r="Q33" s="77">
        <f t="shared" si="2"/>
        <v>0</v>
      </c>
      <c r="R33" s="77">
        <f t="shared" si="2"/>
        <v>0</v>
      </c>
      <c r="S33" s="77">
        <f t="shared" si="2"/>
        <v>0</v>
      </c>
      <c r="T33" s="77">
        <f t="shared" si="2"/>
        <v>0</v>
      </c>
      <c r="U33" s="77">
        <f t="shared" si="2"/>
        <v>0</v>
      </c>
      <c r="V33" s="77">
        <f t="shared" si="2"/>
        <v>0</v>
      </c>
      <c r="W33" s="77">
        <f t="shared" si="2"/>
        <v>0</v>
      </c>
    </row>
    <row r="34" spans="3:23" hidden="1" x14ac:dyDescent="0.2">
      <c r="C34" s="9" t="s">
        <v>132</v>
      </c>
      <c r="D34" s="9" t="e">
        <f t="shared" ref="D34:V34" si="3">(E33-D32)/(E32-D32)</f>
        <v>#DIV/0!</v>
      </c>
      <c r="E34" s="9" t="e">
        <f t="shared" si="3"/>
        <v>#DIV/0!</v>
      </c>
      <c r="F34" s="9" t="e">
        <f t="shared" si="3"/>
        <v>#DIV/0!</v>
      </c>
      <c r="G34" s="9" t="e">
        <f t="shared" si="3"/>
        <v>#DIV/0!</v>
      </c>
      <c r="H34" s="9" t="e">
        <f t="shared" si="3"/>
        <v>#DIV/0!</v>
      </c>
      <c r="I34" s="9" t="e">
        <f t="shared" si="3"/>
        <v>#DIV/0!</v>
      </c>
      <c r="J34" s="9" t="e">
        <f t="shared" si="3"/>
        <v>#DIV/0!</v>
      </c>
      <c r="K34" s="9" t="e">
        <f t="shared" si="3"/>
        <v>#DIV/0!</v>
      </c>
      <c r="L34" s="9" t="e">
        <f t="shared" si="3"/>
        <v>#DIV/0!</v>
      </c>
      <c r="M34" s="9" t="e">
        <f t="shared" si="3"/>
        <v>#DIV/0!</v>
      </c>
      <c r="N34" s="9" t="e">
        <f t="shared" si="3"/>
        <v>#DIV/0!</v>
      </c>
      <c r="O34" s="9" t="e">
        <f t="shared" si="3"/>
        <v>#DIV/0!</v>
      </c>
      <c r="P34" s="9" t="e">
        <f t="shared" si="3"/>
        <v>#DIV/0!</v>
      </c>
      <c r="Q34" s="9" t="e">
        <f t="shared" si="3"/>
        <v>#DIV/0!</v>
      </c>
      <c r="R34" s="9" t="e">
        <f t="shared" si="3"/>
        <v>#DIV/0!</v>
      </c>
      <c r="S34" s="9" t="e">
        <f t="shared" si="3"/>
        <v>#DIV/0!</v>
      </c>
      <c r="T34" s="9" t="e">
        <f t="shared" si="3"/>
        <v>#DIV/0!</v>
      </c>
      <c r="U34" s="9" t="e">
        <f t="shared" si="3"/>
        <v>#DIV/0!</v>
      </c>
      <c r="V34" s="9" t="e">
        <f t="shared" si="3"/>
        <v>#DIV/0!</v>
      </c>
      <c r="W34" s="9" t="e">
        <f>(#REF!-W32)/(X28-W32)</f>
        <v>#REF!</v>
      </c>
    </row>
  </sheetData>
  <sheetProtection algorithmName="SHA-512" hashValue="UVwE8c/CpSMUkVpF9MMbstB7E/E6/sBgA2vz5E6H/o61C25rqvXwABUgutgIi4VkZntQ9fh4bZHb74j4/xJ7aA==" saltValue="y28bob0oL/zd8qAKhIog/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D5BE8-A3B3-4889-984E-A0CA1C5ECDBE}">
  <sheetPr>
    <tabColor rgb="FF7EBC41"/>
  </sheetPr>
  <dimension ref="A1:W16"/>
  <sheetViews>
    <sheetView showGridLines="0" zoomScale="80" zoomScaleNormal="80" workbookViewId="0">
      <selection activeCell="D12" sqref="D12"/>
    </sheetView>
  </sheetViews>
  <sheetFormatPr baseColWidth="10" defaultColWidth="8.83203125" defaultRowHeight="15" x14ac:dyDescent="0.2"/>
  <cols>
    <col min="1" max="1" width="1.6640625" style="9" customWidth="1"/>
    <col min="2" max="2" width="2.6640625" style="9" customWidth="1"/>
    <col min="3" max="3" width="28.5" style="9" bestFit="1" customWidth="1"/>
    <col min="4" max="4" width="49.33203125" style="9" customWidth="1"/>
    <col min="5" max="6" width="8.83203125" style="9"/>
    <col min="7" max="7" width="13.33203125" style="9" customWidth="1"/>
    <col min="8" max="8" width="109.83203125" style="9" customWidth="1"/>
    <col min="9" max="16384" width="8.83203125" style="9"/>
  </cols>
  <sheetData>
    <row r="1" spans="1:23" s="2" customFormat="1" ht="25" x14ac:dyDescent="0.3">
      <c r="A1" s="11" t="s">
        <v>149</v>
      </c>
      <c r="B1" s="1"/>
      <c r="D1" s="3"/>
      <c r="E1" s="3"/>
      <c r="F1" s="4"/>
      <c r="G1" s="3"/>
      <c r="H1" s="3"/>
      <c r="I1" s="3"/>
      <c r="J1" s="3"/>
      <c r="K1" s="3"/>
      <c r="L1" s="3"/>
      <c r="M1" s="3"/>
      <c r="N1" s="3"/>
      <c r="O1" s="3"/>
      <c r="P1" s="3"/>
      <c r="Q1" s="3"/>
      <c r="R1" s="3"/>
      <c r="S1" s="3"/>
      <c r="T1" s="3"/>
      <c r="U1" s="3"/>
      <c r="V1" s="3"/>
      <c r="W1" s="3"/>
    </row>
    <row r="2" spans="1:23" s="6" customFormat="1" ht="18" x14ac:dyDescent="0.25">
      <c r="A2" s="12" t="s">
        <v>176</v>
      </c>
      <c r="B2" s="5"/>
      <c r="D2" s="7"/>
      <c r="E2" s="7"/>
      <c r="F2" s="8"/>
      <c r="G2" s="7"/>
      <c r="H2" s="7"/>
      <c r="I2" s="7"/>
      <c r="J2" s="7"/>
      <c r="K2" s="7"/>
      <c r="L2" s="7"/>
      <c r="M2" s="7"/>
      <c r="N2" s="7"/>
      <c r="O2" s="7"/>
      <c r="P2" s="7"/>
      <c r="Q2" s="7"/>
      <c r="R2" s="7"/>
      <c r="S2" s="7"/>
      <c r="T2" s="7"/>
      <c r="U2" s="7"/>
      <c r="V2" s="7"/>
      <c r="W2" s="7"/>
    </row>
    <row r="4" spans="1:23" x14ac:dyDescent="0.2">
      <c r="C4" s="76" t="s">
        <v>153</v>
      </c>
      <c r="D4" s="122" t="s">
        <v>154</v>
      </c>
      <c r="G4" s="83" t="s">
        <v>155</v>
      </c>
      <c r="H4" s="85"/>
    </row>
    <row r="5" spans="1:23" ht="28.75" customHeight="1" x14ac:dyDescent="0.2">
      <c r="C5" s="123" t="s">
        <v>158</v>
      </c>
      <c r="D5" s="120" t="s">
        <v>189</v>
      </c>
      <c r="G5" s="173" t="s">
        <v>203</v>
      </c>
      <c r="H5" s="175" t="s">
        <v>204</v>
      </c>
    </row>
    <row r="6" spans="1:23" s="119" customFormat="1" ht="28.75" customHeight="1" x14ac:dyDescent="0.15">
      <c r="C6" s="126" t="s">
        <v>7</v>
      </c>
      <c r="D6" s="125" t="s">
        <v>190</v>
      </c>
      <c r="G6" s="173"/>
      <c r="H6" s="176"/>
    </row>
    <row r="7" spans="1:23" ht="28.75" customHeight="1" x14ac:dyDescent="0.2">
      <c r="C7" s="123" t="s">
        <v>137</v>
      </c>
      <c r="D7" s="120" t="s">
        <v>191</v>
      </c>
      <c r="G7" s="124" t="s">
        <v>188</v>
      </c>
      <c r="H7" s="125" t="s">
        <v>205</v>
      </c>
    </row>
    <row r="8" spans="1:23" ht="28.75" customHeight="1" x14ac:dyDescent="0.2">
      <c r="C8" s="126" t="s">
        <v>25</v>
      </c>
      <c r="D8" s="125" t="s">
        <v>192</v>
      </c>
      <c r="G8" s="173" t="s">
        <v>108</v>
      </c>
      <c r="H8" s="174" t="s">
        <v>206</v>
      </c>
    </row>
    <row r="9" spans="1:23" ht="28.75" customHeight="1" x14ac:dyDescent="0.2">
      <c r="C9" s="123" t="s">
        <v>136</v>
      </c>
      <c r="D9" s="121" t="s">
        <v>193</v>
      </c>
      <c r="G9" s="173"/>
      <c r="H9" s="174"/>
    </row>
    <row r="10" spans="1:23" ht="28.75" customHeight="1" x14ac:dyDescent="0.2">
      <c r="C10" s="126" t="s">
        <v>26</v>
      </c>
      <c r="D10" s="127" t="s">
        <v>194</v>
      </c>
      <c r="G10" s="124" t="s">
        <v>217</v>
      </c>
      <c r="H10" s="161" t="s">
        <v>215</v>
      </c>
    </row>
    <row r="11" spans="1:23" ht="28.75" customHeight="1" x14ac:dyDescent="0.2">
      <c r="C11" s="123" t="s">
        <v>27</v>
      </c>
      <c r="D11" s="120" t="s">
        <v>195</v>
      </c>
      <c r="H11" s="138" t="s">
        <v>216</v>
      </c>
    </row>
    <row r="12" spans="1:23" s="119" customFormat="1" ht="28.75" customHeight="1" x14ac:dyDescent="0.15">
      <c r="C12" s="126" t="s">
        <v>207</v>
      </c>
      <c r="D12" s="128" t="s">
        <v>196</v>
      </c>
      <c r="G12" s="137" t="s">
        <v>182</v>
      </c>
      <c r="H12" s="137" t="s">
        <v>186</v>
      </c>
    </row>
    <row r="13" spans="1:23" ht="28.75" customHeight="1" x14ac:dyDescent="0.2">
      <c r="C13" s="123" t="s">
        <v>138</v>
      </c>
      <c r="D13" s="120" t="s">
        <v>197</v>
      </c>
      <c r="G13" s="139"/>
      <c r="H13" s="140" t="s">
        <v>187</v>
      </c>
    </row>
    <row r="14" spans="1:23" ht="28.75" customHeight="1" x14ac:dyDescent="0.2">
      <c r="C14" s="126" t="s">
        <v>157</v>
      </c>
      <c r="D14" s="125" t="s">
        <v>181</v>
      </c>
    </row>
    <row r="15" spans="1:23" x14ac:dyDescent="0.2">
      <c r="G15" s="129"/>
    </row>
    <row r="16" spans="1:23" x14ac:dyDescent="0.2">
      <c r="G16" s="129"/>
    </row>
  </sheetData>
  <sheetProtection algorithmName="SHA-512" hashValue="pmpTG+ov6r9goREgjGnZBPMK19lIcmvnIJ6Ynp8uQeVECz41iUHT8YNAQ9qv67dJEhpnZ2p350U4y0KDy+3pXQ==" saltValue="V4rlQ4QdCHPFsPZKju8tqg==" spinCount="100000" sheet="1" objects="1" scenarios="1"/>
  <mergeCells count="4">
    <mergeCell ref="G5:G6"/>
    <mergeCell ref="H8:H9"/>
    <mergeCell ref="G8:G9"/>
    <mergeCell ref="H5:H6"/>
  </mergeCells>
  <hyperlinks>
    <hyperlink ref="H13" r:id="rId1" display="Reach out here" xr:uid="{C42106EA-EE3A-4DCA-81BE-3C06EF87B216}"/>
    <hyperlink ref="H10" r:id="rId2" xr:uid="{19272D75-91E3-46F6-B9E5-7F4925A95742}"/>
    <hyperlink ref="H11" r:id="rId3" display="Source for THI Loads" xr:uid="{F2385D15-1307-4C9C-8691-ED510DF72341}"/>
  </hyperlinks>
  <pageMargins left="0.7" right="0.7" top="0.75" bottom="0.75" header="0.3" footer="0.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54DD92FF35704392CB05719C45FBF9" ma:contentTypeVersion="20" ma:contentTypeDescription="Create a new document." ma:contentTypeScope="" ma:versionID="e37fec4101a7b0fb454ad486fad19b5b">
  <xsd:schema xmlns:xsd="http://www.w3.org/2001/XMLSchema" xmlns:xs="http://www.w3.org/2001/XMLSchema" xmlns:p="http://schemas.microsoft.com/office/2006/metadata/properties" xmlns:ns2="b28978d9-d500-43c9-aca5-b319cb0c698e" xmlns:ns3="cf96ba91-37e7-4adc-b107-4684abe29ee4" targetNamespace="http://schemas.microsoft.com/office/2006/metadata/properties" ma:root="true" ma:fieldsID="c3c4fc1b3cb97e9b6283d40680e9621d" ns2:_="" ns3:_="">
    <xsd:import namespace="b28978d9-d500-43c9-aca5-b319cb0c698e"/>
    <xsd:import namespace="cf96ba91-37e7-4adc-b107-4684abe29e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8978d9-d500-43c9-aca5-b319cb0c69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2a96494-cbf1-4d34-858c-aff3f21b52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96ba91-37e7-4adc-b107-4684abe29e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1008316-9fb6-4736-ab84-4c19eaef620e}" ma:internalName="TaxCatchAll" ma:showField="CatchAllData" ma:web="cf96ba91-37e7-4adc-b107-4684abe29e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8978d9-d500-43c9-aca5-b319cb0c698e">
      <Terms xmlns="http://schemas.microsoft.com/office/infopath/2007/PartnerControls"/>
    </lcf76f155ced4ddcb4097134ff3c332f>
    <TaxCatchAll xmlns="cf96ba91-37e7-4adc-b107-4684abe29ee4" xsi:nil="true"/>
  </documentManagement>
</p:properties>
</file>

<file path=customXml/itemProps1.xml><?xml version="1.0" encoding="utf-8"?>
<ds:datastoreItem xmlns:ds="http://schemas.openxmlformats.org/officeDocument/2006/customXml" ds:itemID="{7B253DFF-BBB8-43B6-9F72-8CDA00453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8978d9-d500-43c9-aca5-b319cb0c698e"/>
    <ds:schemaRef ds:uri="cf96ba91-37e7-4adc-b107-4684abe29e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03000-225D-4117-A9D3-64F02473F61B}">
  <ds:schemaRefs>
    <ds:schemaRef ds:uri="http://schemas.microsoft.com/sharepoint/v3/contenttype/forms"/>
  </ds:schemaRefs>
</ds:datastoreItem>
</file>

<file path=customXml/itemProps3.xml><?xml version="1.0" encoding="utf-8"?>
<ds:datastoreItem xmlns:ds="http://schemas.openxmlformats.org/officeDocument/2006/customXml" ds:itemID="{D9748906-1685-496D-AF9B-BEE7BD3F58C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28978d9-d500-43c9-aca5-b319cb0c698e"/>
    <ds:schemaRef ds:uri="http://purl.org/dc/elements/1.1/"/>
    <ds:schemaRef ds:uri="http://schemas.microsoft.com/office/2006/metadata/properties"/>
    <ds:schemaRef ds:uri="cf96ba91-37e7-4adc-b107-4684abe29ee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Model Guide</vt:lpstr>
      <vt:lpstr>Model Inputs</vt:lpstr>
      <vt:lpstr>THI</vt:lpstr>
      <vt:lpstr>Avg Yield per Tree</vt:lpstr>
      <vt:lpstr>Model Results</vt:lpstr>
      <vt:lpstr>Resources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Allen</dc:creator>
  <cp:lastModifiedBy>Harrison Rhodes</cp:lastModifiedBy>
  <dcterms:created xsi:type="dcterms:W3CDTF">2024-01-16T14:25:42Z</dcterms:created>
  <dcterms:modified xsi:type="dcterms:W3CDTF">2024-08-27T19:32:31Z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0x0101006054DD92FF35704392CB05719C45FBF9</vt:lpwstr>
  </property>
  <property fmtid="{D5CDD505-2E9C-101B-9397-08002B2CF9AE}" pid="3" name="MediaServiceImageTags">
    <vt:lpwstr/>
  </property>
</Properties>
</file>