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uber\Documents\Folders to update\PARTNERSHIP GRANTS\2019 ONE\ONE19 Projects\ONE19-341_McMahan\Final report\"/>
    </mc:Choice>
  </mc:AlternateContent>
  <bookViews>
    <workbookView xWindow="0" yWindow="0" windowWidth="19200" windowHeight="6760" tabRatio="500"/>
  </bookViews>
  <sheets>
    <sheet name="Instructions" sheetId="2" r:id="rId1"/>
    <sheet name="Acknowledgements" sheetId="3" r:id="rId2"/>
    <sheet name="Cost Benefit Model" sheetId="1" r:id="rId3"/>
  </sheet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G3" i="1" l="1"/>
  <c r="H3" i="1" s="1"/>
  <c r="L2" i="1"/>
  <c r="U2" i="1" s="1"/>
  <c r="I2" i="1"/>
  <c r="H2" i="1"/>
  <c r="Q2" i="1" l="1"/>
  <c r="L3" i="1"/>
  <c r="M2" i="1"/>
  <c r="M3" i="1" s="1"/>
  <c r="N2" i="1"/>
  <c r="O2" i="1" l="1"/>
  <c r="N3" i="1"/>
  <c r="U3" i="1"/>
  <c r="Q3" i="1"/>
  <c r="V2" i="1"/>
  <c r="R2" i="1"/>
  <c r="S2" i="1" s="1"/>
  <c r="V3" i="1" l="1"/>
  <c r="R3" i="1"/>
  <c r="S3" i="1" s="1"/>
  <c r="W2" i="1"/>
  <c r="X2" i="1"/>
  <c r="O3" i="1"/>
  <c r="P2" i="1"/>
  <c r="P3" i="1" s="1"/>
  <c r="T3" i="1" l="1"/>
  <c r="X3" i="1"/>
  <c r="W3" i="1"/>
  <c r="T2" i="1"/>
</calcChain>
</file>

<file path=xl/sharedStrings.xml><?xml version="1.0" encoding="utf-8"?>
<sst xmlns="http://schemas.openxmlformats.org/spreadsheetml/2006/main" count="80" uniqueCount="78">
  <si>
    <t>Market price per piece $</t>
  </si>
  <si>
    <t>Longline length (ft)</t>
  </si>
  <si>
    <t>Farm depth at high tide (ft)</t>
  </si>
  <si>
    <t>Spacing between drop lines (ft)</t>
  </si>
  <si>
    <t>Seed cost $/1000</t>
  </si>
  <si>
    <t>Final stocking density / bag (at harvest size)</t>
  </si>
  <si>
    <t>Survivorship (%)</t>
  </si>
  <si>
    <t>Survival factor</t>
  </si>
  <si>
    <t>Rope $/ft</t>
  </si>
  <si>
    <t>Cost of bag and closure</t>
  </si>
  <si>
    <t>Time to market (yrs)</t>
  </si>
  <si>
    <t># bags needed</t>
  </si>
  <si>
    <t>Total Bag Cost</t>
  </si>
  <si>
    <t>Total rope length needed (ft)</t>
  </si>
  <si>
    <t>Rope cost</t>
  </si>
  <si>
    <t>Initial gear cost</t>
  </si>
  <si>
    <t>Number of market size clams on farm</t>
  </si>
  <si>
    <t>Yearly seed order</t>
  </si>
  <si>
    <t>Yearly seed cost</t>
  </si>
  <si>
    <t>Total initial costs / longline</t>
  </si>
  <si>
    <t>Gear replacement costs (replace on 5yr cycle)</t>
  </si>
  <si>
    <t>Potential gross sales per longline</t>
  </si>
  <si>
    <t>Potential annual net before gear replacement</t>
  </si>
  <si>
    <t>Potential annual net w/ gear replacement (1/5 of perishable gear)</t>
  </si>
  <si>
    <t>Key</t>
  </si>
  <si>
    <t>Changeable Variable</t>
  </si>
  <si>
    <t>Constant</t>
  </si>
  <si>
    <t>Calculated by formula</t>
  </si>
  <si>
    <t>Cumulative Survivorship</t>
  </si>
  <si>
    <t>End of year three</t>
  </si>
  <si>
    <t>Seed size (mm shell length)</t>
  </si>
  <si>
    <t>Seed Price /1000</t>
  </si>
  <si>
    <t>Final stocking density / bag</t>
  </si>
  <si>
    <t>Low</t>
  </si>
  <si>
    <t>High</t>
  </si>
  <si>
    <t>Median *</t>
  </si>
  <si>
    <t>Average*</t>
  </si>
  <si>
    <t>2.5-4</t>
  </si>
  <si>
    <t>*Median and average calculated by treatment – not full farm results. These figures reflect the input of failed treatments and will skew low</t>
  </si>
  <si>
    <t>Cost benefit model for clam and oyster polyculture</t>
  </si>
  <si>
    <t>This tool will help you estimate the potential production and costs of growing quahog clams in the sediments below a subtidal oyster farm in contained culture. The model uses growth rates, stocking densities, and survivorship of quahogs grown between 2017 and 2020 on the New Meadows River, Long Reach, and Robinhood Cove in southern Maine. This work represents the trial and error of a new technique, and shows a range of outcomes that include failed treatments. Though this may skew expected survivorship figures low, the intent is to set realistic expectations for a new and still evolving technique.</t>
  </si>
  <si>
    <r>
      <t xml:space="preserve">*The following instructions apply to the </t>
    </r>
    <r>
      <rPr>
        <u/>
        <sz val="12"/>
        <rFont val="Times New Roman"/>
        <family val="1"/>
      </rPr>
      <t>excel spreadsheet</t>
    </r>
    <r>
      <rPr>
        <sz val="12"/>
        <rFont val="Times New Roman"/>
        <family val="1"/>
      </rPr>
      <t xml:space="preserve"> cost benefit model.</t>
    </r>
  </si>
  <si>
    <t>Red fields are variables designed to be set by the user</t>
  </si>
  <si>
    <t>Market price per piece:</t>
  </si>
  <si>
    <t>Expected sale price. Wild clams in this region typically wholesale for $0.18-$0.33ea. Small (40mm shell length) quahogs from our work fetched a premium ($0.40ea).</t>
  </si>
  <si>
    <t>Longline length:</t>
  </si>
  <si>
    <t>Length of a single longline. Do not combine multiple lines for this figure (instead add results for each line).  A 3ft wide LPA allows for a 133ft longline (the stock example shown).</t>
  </si>
  <si>
    <t>Farm depth at high tide:</t>
  </si>
  <si>
    <t>Used to calculate retrieval “drop” line length. Shorter lines are possible if retrieving only at lower tides.</t>
  </si>
  <si>
    <t>Spacing between drop lines:</t>
  </si>
  <si>
    <t>This farming technique uses a longline that is sunk to the bottom when not in use. To access clams, the longline is brought to the surface and each bag is individually retrieved using its own drop line (see figure). The spacing of these drop lines should be determined by conditions at each farm. Closely spacing lines gives a farm a higher carrying capacity, but increases the liklihood that lines will tangle (making handling much more difficult). Closer spaced drop lines (~3ft apart) are more practical in shallower sites or those with less current/tidal exchange. At Winnegance, a deep site (25ft) with high flow rates, 6 feet was the closest manageable spacing.</t>
  </si>
  <si>
    <t>Seed cost:</t>
  </si>
  <si>
    <r>
      <t>The table below the model show</t>
    </r>
    <r>
      <rPr>
        <sz val="12"/>
        <color rgb="FF000000"/>
        <rFont val="Times New Roman"/>
        <family val="1"/>
      </rPr>
      <t>s current ME prices, determined by size. La</t>
    </r>
    <r>
      <rPr>
        <sz val="12"/>
        <rFont val="Times New Roman"/>
        <family val="1"/>
      </rPr>
      <t>rger seed can help reduce nursery equipment costs (not included in model) and time to market. Seed timing may also play an issue (smaller seed available early in the season may outperform large seed acquired later).</t>
    </r>
  </si>
  <si>
    <t>Stocking density per bag:</t>
  </si>
  <si>
    <t>Higher stocking densities raise a longline’s capacity, but also reduce growth rates, raise mortality, and make handling more difficult. For stocking density at harvest-size, a range of 400-900 was used in field trials.</t>
  </si>
  <si>
    <t>Cumulative survivorship:</t>
  </si>
  <si>
    <t>The table below the model shows the full range of 3-year survivorship in our field trials. These survivorship numbers skew low, including failed one-off treatments (air-drying), and bags that saw distinct mortality events (buried by sediment kicked up by a large storm, infested with an unusual number of crabs, or lost in failed overwintering equipment). We have seen survivorship climb and expect further gains as the technique is refined. Four year survivorship is calculated by adding an additional year of winter mortality (96%).</t>
  </si>
  <si>
    <t>Figures calculated by the model:</t>
  </si>
  <si>
    <t>Time to market:</t>
  </si>
  <si>
    <t>Preliminary data suggest a large proportion of clams will be ready for harvest in year 3-4.</t>
  </si>
  <si>
    <t>Number of bags needed:</t>
  </si>
  <si>
    <t>Determined by spacing between drop lines</t>
  </si>
  <si>
    <t>Total bag cost:</t>
  </si>
  <si>
    <t>Current price of a complete growout bag (4mm oyster bag, scallop spat bag, stainless steel hogrings, and 5 diaper pins).</t>
  </si>
  <si>
    <t>Total rope length/cost:</t>
  </si>
  <si>
    <t>Current cost of all rope necessary for implementation (longline, drop lines, and two anchoring lines)</t>
  </si>
  <si>
    <t>Initial gear costs:</t>
  </si>
  <si>
    <t>Bag and rope costs needed to fully equip a longline.</t>
  </si>
  <si>
    <t>Number of market size clams on farm:</t>
  </si>
  <si>
    <t>This is the intended annual harvest amount. It is calculated using the amount of space needed to contain each cohort. Clams at harvest year account for 43% of space for a 3 year product, 30% for a 4 year product.</t>
  </si>
  <si>
    <t>Yearly seed order/price:</t>
  </si>
  <si>
    <t>Calculated using cumulative mortality and number of harvest-year clams. This figure adjusts to fill the maximum capacity allowed by space given stocking density and mortality.</t>
  </si>
  <si>
    <t>Total initial costs per longline:</t>
  </si>
  <si>
    <t>Initial gear costs plus a year 1 seed order</t>
  </si>
  <si>
    <t>Gear replacement costs:</t>
  </si>
  <si>
    <t>Assumes that bags have an average a 5 year shelf life (if handled carefully and mended with wear). Pins and rope are considered durable and reusable. This figure plans for 1/5th of replacement costs each year.</t>
  </si>
  <si>
    <t xml:space="preserve">This model was developed by Jordan Kramer of Winnegance Oyster as part of a SARE Partnership Grant (ONE19-341) awarded to Manomet, Inc. to test the viability of oyster and quahog polyculture. </t>
  </si>
  <si>
    <t>https://projects.sare.org/sare_project/one19-341/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</si>
</sst>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00;[Red]\-[$$-409]#,##0.00"/>
  </numFmts>
  <fonts count="21" x14ac:knownFonts="1">
    <font>
      <sz val="10"/>
      <name val="Arial"/>
      <family val="2"/>
      <charset val="1"/>
    </font>
    <font>
      <i/>
      <sz val="10"/>
      <name val="Arial"/>
      <family val="2"/>
      <charset val="1"/>
    </font>
    <font>
      <b/>
      <sz val="10"/>
      <name val="Arial"/>
      <family val="2"/>
      <charset val="1"/>
    </font>
    <font>
      <b/>
      <sz val="10"/>
      <color rgb="FF000000"/>
      <name val="Arial"/>
      <family val="2"/>
      <charset val="1"/>
    </font>
    <font>
      <sz val="10"/>
      <color rgb="FFFF0000"/>
      <name val="Arial"/>
      <family val="2"/>
      <charset val="1"/>
    </font>
    <font>
      <sz val="10"/>
      <color rgb="FF000000"/>
      <name val="Arial"/>
      <family val="2"/>
      <charset val="1"/>
    </font>
    <font>
      <sz val="10"/>
      <color rgb="FF0000FF"/>
      <name val="Arial"/>
      <family val="2"/>
      <charset val="1"/>
    </font>
    <font>
      <sz val="10"/>
      <color rgb="FF800080"/>
      <name val="Arial"/>
      <family val="2"/>
      <charset val="1"/>
    </font>
    <font>
      <b/>
      <sz val="10"/>
      <color rgb="FFFFFF00"/>
      <name val="Arial"/>
      <family val="2"/>
      <charset val="1"/>
    </font>
    <font>
      <b/>
      <sz val="10"/>
      <color rgb="FFFF1493"/>
      <name val="Arial"/>
      <family val="2"/>
      <charset val="1"/>
    </font>
    <font>
      <i/>
      <sz val="10"/>
      <color rgb="FF000000"/>
      <name val="Arial"/>
      <family val="2"/>
      <charset val="1"/>
    </font>
    <font>
      <sz val="10"/>
      <color rgb="FF2E8B57"/>
      <name val="Arial"/>
      <family val="2"/>
      <charset val="1"/>
    </font>
    <font>
      <b/>
      <sz val="10"/>
      <color rgb="FFFFFFFF"/>
      <name val="Arial"/>
      <family val="2"/>
      <charset val="1"/>
    </font>
    <font>
      <sz val="10"/>
      <color rgb="FF008000"/>
      <name val="Arial"/>
      <family val="2"/>
      <charset val="1"/>
    </font>
    <font>
      <sz val="12"/>
      <name val="Times New Roman"/>
      <family val="1"/>
    </font>
    <font>
      <u/>
      <sz val="12"/>
      <name val="Times New Roman"/>
      <family val="1"/>
    </font>
    <font>
      <b/>
      <sz val="12"/>
      <color rgb="FFFF0000"/>
      <name val="Times New Roman"/>
      <family val="1"/>
    </font>
    <font>
      <sz val="12"/>
      <color rgb="FFFF0000"/>
      <name val="Times New Roman"/>
      <family val="1"/>
    </font>
    <font>
      <sz val="12"/>
      <color rgb="FF000000"/>
      <name val="Times New Roman"/>
      <family val="1"/>
    </font>
    <font>
      <sz val="12"/>
      <color rgb="FF0000FF"/>
      <name val="Times New Roman"/>
      <family val="1"/>
    </font>
    <font>
      <b/>
      <sz val="11"/>
      <name val="Arial"/>
      <family val="2"/>
    </font>
  </fonts>
  <fills count="7">
    <fill>
      <patternFill patternType="none"/>
    </fill>
    <fill>
      <patternFill patternType="gray125"/>
    </fill>
    <fill>
      <patternFill patternType="solid">
        <fgColor rgb="FFFFF0F5"/>
        <bgColor rgb="FFFFFFFF"/>
      </patternFill>
    </fill>
    <fill>
      <patternFill patternType="solid">
        <fgColor rgb="FFE6E6FA"/>
        <bgColor rgb="FFFFF0F5"/>
      </patternFill>
    </fill>
    <fill>
      <patternFill patternType="solid">
        <fgColor rgb="FF7FFFD4"/>
        <bgColor rgb="FF99CCFF"/>
      </patternFill>
    </fill>
    <fill>
      <patternFill patternType="solid">
        <fgColor rgb="FF000000"/>
        <bgColor rgb="FF003300"/>
      </patternFill>
    </fill>
    <fill>
      <patternFill patternType="solid">
        <fgColor rgb="FF708090"/>
        <bgColor rgb="FF666699"/>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73">
    <xf numFmtId="0" fontId="0" fillId="0" borderId="0" xfId="0"/>
    <xf numFmtId="0" fontId="1" fillId="0" borderId="0" xfId="0" applyFont="1"/>
    <xf numFmtId="0" fontId="2" fillId="0" borderId="0" xfId="0" applyFont="1"/>
    <xf numFmtId="0" fontId="3" fillId="0" borderId="0" xfId="0" applyFont="1"/>
    <xf numFmtId="0" fontId="4" fillId="0" borderId="1" xfId="0" applyFont="1" applyBorder="1" applyAlignment="1">
      <alignment horizontal="center" vertical="top" wrapText="1"/>
    </xf>
    <xf numFmtId="0" fontId="4"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2"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9" fillId="5" borderId="1" xfId="0" applyFont="1" applyFill="1" applyBorder="1" applyAlignment="1">
      <alignment horizontal="center" vertical="top" wrapText="1"/>
    </xf>
    <xf numFmtId="164" fontId="4" fillId="0" borderId="1" xfId="0" applyNumberFormat="1" applyFont="1" applyBorder="1"/>
    <xf numFmtId="0" fontId="4" fillId="0" borderId="1" xfId="0" applyFont="1" applyBorder="1" applyAlignment="1">
      <alignment horizontal="right"/>
    </xf>
    <xf numFmtId="0" fontId="4" fillId="2" borderId="1" xfId="0" applyFont="1" applyFill="1" applyBorder="1" applyAlignment="1">
      <alignment horizontal="right"/>
    </xf>
    <xf numFmtId="0" fontId="4" fillId="3" borderId="1" xfId="0" applyFont="1" applyFill="1" applyBorder="1" applyAlignment="1">
      <alignment horizontal="right"/>
    </xf>
    <xf numFmtId="0" fontId="4" fillId="4" borderId="1" xfId="0" applyFont="1" applyFill="1" applyBorder="1" applyAlignment="1">
      <alignment horizontal="right"/>
    </xf>
    <xf numFmtId="2" fontId="5" fillId="0" borderId="1" xfId="0" applyNumberFormat="1" applyFont="1" applyBorder="1" applyAlignment="1">
      <alignment horizontal="right"/>
    </xf>
    <xf numFmtId="164" fontId="6" fillId="0" borderId="1" xfId="0" applyNumberFormat="1" applyFont="1" applyBorder="1" applyAlignment="1">
      <alignment horizontal="right"/>
    </xf>
    <xf numFmtId="0" fontId="6" fillId="0" borderId="1" xfId="0" applyFont="1" applyBorder="1" applyAlignment="1">
      <alignment horizontal="right"/>
    </xf>
    <xf numFmtId="1" fontId="0" fillId="0" borderId="1" xfId="0" applyNumberFormat="1" applyBorder="1" applyAlignment="1">
      <alignment horizontal="right"/>
    </xf>
    <xf numFmtId="164" fontId="0" fillId="0" borderId="1" xfId="0" applyNumberFormat="1" applyBorder="1" applyAlignment="1">
      <alignment horizontal="right"/>
    </xf>
    <xf numFmtId="164" fontId="10" fillId="0" borderId="1" xfId="0" applyNumberFormat="1" applyFont="1" applyBorder="1" applyAlignment="1">
      <alignment horizontal="right"/>
    </xf>
    <xf numFmtId="1" fontId="7" fillId="0" borderId="1" xfId="0" applyNumberFormat="1" applyFont="1" applyBorder="1" applyAlignment="1">
      <alignment horizontal="right"/>
    </xf>
    <xf numFmtId="164" fontId="2" fillId="0" borderId="1" xfId="0" applyNumberFormat="1" applyFont="1" applyBorder="1" applyAlignment="1">
      <alignment horizontal="right"/>
    </xf>
    <xf numFmtId="164" fontId="8" fillId="5" borderId="1" xfId="0" applyNumberFormat="1" applyFont="1" applyFill="1" applyBorder="1" applyAlignment="1">
      <alignment horizontal="right"/>
    </xf>
    <xf numFmtId="164" fontId="9" fillId="5" borderId="1" xfId="0" applyNumberFormat="1" applyFont="1" applyFill="1" applyBorder="1" applyAlignment="1">
      <alignment horizontal="right"/>
    </xf>
    <xf numFmtId="0" fontId="0" fillId="6" borderId="1" xfId="0" applyFill="1" applyBorder="1"/>
    <xf numFmtId="0" fontId="5" fillId="6" borderId="1" xfId="0" applyFont="1" applyFill="1" applyBorder="1" applyAlignment="1">
      <alignment horizontal="right"/>
    </xf>
    <xf numFmtId="0" fontId="6" fillId="6" borderId="1" xfId="0" applyFont="1" applyFill="1" applyBorder="1" applyAlignment="1">
      <alignment horizontal="right"/>
    </xf>
    <xf numFmtId="0" fontId="4" fillId="6" borderId="1" xfId="0" applyFont="1" applyFill="1" applyBorder="1" applyAlignment="1">
      <alignment horizontal="right"/>
    </xf>
    <xf numFmtId="0" fontId="5" fillId="4" borderId="1" xfId="0" applyFont="1" applyFill="1" applyBorder="1" applyAlignment="1">
      <alignment horizontal="right"/>
    </xf>
    <xf numFmtId="0" fontId="4" fillId="0" borderId="0" xfId="0" applyFont="1"/>
    <xf numFmtId="0" fontId="6" fillId="0" borderId="0" xfId="0" applyFont="1"/>
    <xf numFmtId="0" fontId="5" fillId="0" borderId="0" xfId="0" applyFont="1"/>
    <xf numFmtId="0" fontId="11" fillId="0" borderId="0" xfId="0" applyFont="1"/>
    <xf numFmtId="0" fontId="12" fillId="5" borderId="1" xfId="0" applyFont="1" applyFill="1" applyBorder="1"/>
    <xf numFmtId="0" fontId="4" fillId="0" borderId="1" xfId="0" applyFont="1" applyBorder="1"/>
    <xf numFmtId="0" fontId="6" fillId="0" borderId="1" xfId="0" applyFont="1" applyBorder="1"/>
    <xf numFmtId="0" fontId="5" fillId="0" borderId="1" xfId="0" applyFont="1" applyBorder="1"/>
    <xf numFmtId="0" fontId="7" fillId="0" borderId="0" xfId="0" applyFont="1"/>
    <xf numFmtId="0" fontId="0" fillId="4" borderId="1" xfId="0" applyFont="1" applyFill="1" applyBorder="1" applyAlignment="1">
      <alignment horizontal="center" vertical="top" wrapText="1"/>
    </xf>
    <xf numFmtId="0" fontId="0" fillId="0" borderId="0" xfId="0" applyAlignment="1">
      <alignment vertical="top" wrapText="1"/>
    </xf>
    <xf numFmtId="0" fontId="0" fillId="2"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0" fillId="4" borderId="1" xfId="0" applyFont="1" applyFill="1" applyBorder="1"/>
    <xf numFmtId="1" fontId="0" fillId="4" borderId="1" xfId="0" applyNumberFormat="1" applyFill="1" applyBorder="1" applyAlignment="1">
      <alignment horizontal="center"/>
    </xf>
    <xf numFmtId="0" fontId="0" fillId="2" borderId="1" xfId="0" applyFill="1" applyBorder="1" applyAlignment="1">
      <alignment horizontal="center"/>
    </xf>
    <xf numFmtId="164" fontId="0" fillId="2" borderId="1" xfId="0" applyNumberFormat="1" applyFill="1" applyBorder="1" applyAlignment="1">
      <alignment horizontal="center"/>
    </xf>
    <xf numFmtId="0" fontId="5" fillId="3" borderId="1" xfId="0" applyFont="1" applyFill="1" applyBorder="1"/>
    <xf numFmtId="0" fontId="13" fillId="4" borderId="1" xfId="0" applyFont="1" applyFill="1" applyBorder="1"/>
    <xf numFmtId="1" fontId="13" fillId="4" borderId="1" xfId="0" applyNumberFormat="1" applyFont="1" applyFill="1" applyBorder="1" applyAlignment="1">
      <alignment horizontal="center"/>
    </xf>
    <xf numFmtId="0" fontId="13" fillId="0" borderId="0" xfId="0" applyFont="1" applyAlignment="1">
      <alignment wrapText="1"/>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top" wrapText="1"/>
    </xf>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xf>
    <xf numFmtId="0" fontId="20" fillId="0" borderId="0" xfId="0" applyFon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1493"/>
      <rgbColor rgb="FF00FFFF"/>
      <rgbColor rgb="FF800000"/>
      <rgbColor rgb="FF008000"/>
      <rgbColor rgb="FF000080"/>
      <rgbColor rgb="FF808000"/>
      <rgbColor rgb="FF800080"/>
      <rgbColor rgb="FF008080"/>
      <rgbColor rgb="FFC0C0C0"/>
      <rgbColor rgb="FF708090"/>
      <rgbColor rgb="FF9999FF"/>
      <rgbColor rgb="FF993366"/>
      <rgbColor rgb="FFFFF0F5"/>
      <rgbColor rgb="FFE6E6FA"/>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7FFFD4"/>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2E8B57"/>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70252</xdr:rowOff>
    </xdr:from>
    <xdr:to>
      <xdr:col>2</xdr:col>
      <xdr:colOff>584200</xdr:colOff>
      <xdr:row>10</xdr:row>
      <xdr:rowOff>120650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252"/>
          <a:ext cx="1803400" cy="16378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tabSelected="1" workbookViewId="0">
      <selection activeCell="A3" sqref="A3"/>
    </sheetView>
  </sheetViews>
  <sheetFormatPr defaultRowHeight="12.5" x14ac:dyDescent="0.25"/>
  <cols>
    <col min="1" max="1" width="105.81640625" customWidth="1"/>
  </cols>
  <sheetData>
    <row r="1" spans="1:1" ht="14" x14ac:dyDescent="0.3">
      <c r="A1" s="72" t="s">
        <v>39</v>
      </c>
    </row>
    <row r="3" spans="1:1" ht="93" x14ac:dyDescent="0.25">
      <c r="A3" s="66" t="s">
        <v>40</v>
      </c>
    </row>
    <row r="5" spans="1:1" ht="15.5" x14ac:dyDescent="0.25">
      <c r="A5" s="64" t="s">
        <v>41</v>
      </c>
    </row>
    <row r="7" spans="1:1" ht="15" x14ac:dyDescent="0.25">
      <c r="A7" s="67" t="s">
        <v>42</v>
      </c>
    </row>
    <row r="9" spans="1:1" ht="15.5" x14ac:dyDescent="0.25">
      <c r="A9" s="69" t="s">
        <v>43</v>
      </c>
    </row>
    <row r="10" spans="1:1" ht="31" x14ac:dyDescent="0.25">
      <c r="A10" s="70" t="s">
        <v>44</v>
      </c>
    </row>
    <row r="12" spans="1:1" ht="15.5" x14ac:dyDescent="0.25">
      <c r="A12" s="68" t="s">
        <v>45</v>
      </c>
    </row>
    <row r="13" spans="1:1" ht="31" x14ac:dyDescent="0.25">
      <c r="A13" s="65" t="s">
        <v>46</v>
      </c>
    </row>
    <row r="14" spans="1:1" ht="15.5" x14ac:dyDescent="0.25">
      <c r="A14" s="64"/>
    </row>
    <row r="15" spans="1:1" ht="15.5" x14ac:dyDescent="0.25">
      <c r="A15" s="68" t="s">
        <v>47</v>
      </c>
    </row>
    <row r="16" spans="1:1" ht="15.5" x14ac:dyDescent="0.25">
      <c r="A16" s="64" t="s">
        <v>48</v>
      </c>
    </row>
    <row r="17" spans="1:1" ht="15.5" x14ac:dyDescent="0.25">
      <c r="A17" s="64"/>
    </row>
    <row r="18" spans="1:1" ht="15.5" x14ac:dyDescent="0.25">
      <c r="A18" s="68" t="s">
        <v>49</v>
      </c>
    </row>
    <row r="19" spans="1:1" ht="93" x14ac:dyDescent="0.25">
      <c r="A19" s="65" t="s">
        <v>50</v>
      </c>
    </row>
    <row r="21" spans="1:1" ht="15.5" x14ac:dyDescent="0.25">
      <c r="A21" s="68" t="s">
        <v>51</v>
      </c>
    </row>
    <row r="22" spans="1:1" ht="46.5" x14ac:dyDescent="0.25">
      <c r="A22" s="65" t="s">
        <v>52</v>
      </c>
    </row>
    <row r="24" spans="1:1" ht="15.5" x14ac:dyDescent="0.25">
      <c r="A24" s="68" t="s">
        <v>53</v>
      </c>
    </row>
    <row r="25" spans="1:1" ht="31" x14ac:dyDescent="0.25">
      <c r="A25" s="65" t="s">
        <v>54</v>
      </c>
    </row>
    <row r="27" spans="1:1" ht="15.5" x14ac:dyDescent="0.25">
      <c r="A27" s="68" t="s">
        <v>55</v>
      </c>
    </row>
    <row r="28" spans="1:1" ht="77.5" x14ac:dyDescent="0.25">
      <c r="A28" s="65" t="s">
        <v>56</v>
      </c>
    </row>
    <row r="29" spans="1:1" ht="15.5" x14ac:dyDescent="0.25">
      <c r="A29" s="64"/>
    </row>
    <row r="31" spans="1:1" ht="15.5" x14ac:dyDescent="0.25">
      <c r="A31" s="64" t="s">
        <v>57</v>
      </c>
    </row>
    <row r="33" spans="1:1" ht="15.5" x14ac:dyDescent="0.25">
      <c r="A33" s="71" t="s">
        <v>58</v>
      </c>
    </row>
    <row r="34" spans="1:1" ht="15.5" x14ac:dyDescent="0.25">
      <c r="A34" s="64" t="s">
        <v>59</v>
      </c>
    </row>
    <row r="35" spans="1:1" ht="15.5" x14ac:dyDescent="0.25">
      <c r="A35" s="64"/>
    </row>
    <row r="36" spans="1:1" ht="15.5" x14ac:dyDescent="0.25">
      <c r="A36" s="64" t="s">
        <v>60</v>
      </c>
    </row>
    <row r="37" spans="1:1" ht="15.5" x14ac:dyDescent="0.25">
      <c r="A37" s="64" t="s">
        <v>61</v>
      </c>
    </row>
    <row r="39" spans="1:1" ht="15.5" x14ac:dyDescent="0.25">
      <c r="A39" s="64" t="s">
        <v>62</v>
      </c>
    </row>
    <row r="40" spans="1:1" ht="15.5" x14ac:dyDescent="0.25">
      <c r="A40" s="64" t="s">
        <v>63</v>
      </c>
    </row>
    <row r="41" spans="1:1" ht="15.5" x14ac:dyDescent="0.25">
      <c r="A41" s="64"/>
    </row>
    <row r="42" spans="1:1" ht="15.5" x14ac:dyDescent="0.25">
      <c r="A42" s="64" t="s">
        <v>64</v>
      </c>
    </row>
    <row r="43" spans="1:1" ht="15.5" x14ac:dyDescent="0.25">
      <c r="A43" s="64" t="s">
        <v>65</v>
      </c>
    </row>
    <row r="45" spans="1:1" ht="15.5" x14ac:dyDescent="0.25">
      <c r="A45" s="64" t="s">
        <v>66</v>
      </c>
    </row>
    <row r="46" spans="1:1" ht="15.5" x14ac:dyDescent="0.25">
      <c r="A46" s="64" t="s">
        <v>67</v>
      </c>
    </row>
    <row r="47" spans="1:1" ht="15.5" x14ac:dyDescent="0.25">
      <c r="A47" s="64"/>
    </row>
    <row r="48" spans="1:1" ht="15.5" x14ac:dyDescent="0.25">
      <c r="A48" s="64" t="s">
        <v>68</v>
      </c>
    </row>
    <row r="49" spans="1:1" ht="31" x14ac:dyDescent="0.25">
      <c r="A49" s="65" t="s">
        <v>69</v>
      </c>
    </row>
    <row r="51" spans="1:1" ht="15.5" x14ac:dyDescent="0.25">
      <c r="A51" s="64" t="s">
        <v>70</v>
      </c>
    </row>
    <row r="52" spans="1:1" ht="31" x14ac:dyDescent="0.25">
      <c r="A52" s="65" t="s">
        <v>71</v>
      </c>
    </row>
    <row r="54" spans="1:1" ht="15.5" x14ac:dyDescent="0.25">
      <c r="A54" s="64" t="s">
        <v>72</v>
      </c>
    </row>
    <row r="55" spans="1:1" ht="15.5" x14ac:dyDescent="0.25">
      <c r="A55" s="64" t="s">
        <v>73</v>
      </c>
    </row>
    <row r="57" spans="1:1" ht="15.5" x14ac:dyDescent="0.25">
      <c r="A57" s="64" t="s">
        <v>74</v>
      </c>
    </row>
    <row r="58" spans="1:1" ht="31" x14ac:dyDescent="0.25">
      <c r="A58" s="65" t="s">
        <v>75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RowHeight="12.5" x14ac:dyDescent="0.25"/>
  <sheetData>
    <row r="1" spans="1:4" x14ac:dyDescent="0.25">
      <c r="A1" t="s">
        <v>76</v>
      </c>
    </row>
    <row r="6" spans="1:4" x14ac:dyDescent="0.25">
      <c r="D6" t="s">
        <v>77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7"/>
  <sheetViews>
    <sheetView zoomScale="80" zoomScaleNormal="80" workbookViewId="0">
      <selection activeCell="A3" sqref="A3"/>
    </sheetView>
  </sheetViews>
  <sheetFormatPr defaultRowHeight="13" x14ac:dyDescent="0.3"/>
  <cols>
    <col min="1" max="1" width="10.26953125" customWidth="1"/>
    <col min="2" max="2" width="18.54296875" customWidth="1"/>
    <col min="3" max="3" width="10.81640625" customWidth="1"/>
    <col min="4" max="4" width="8.1796875" customWidth="1"/>
    <col min="5" max="5" width="9.54296875" customWidth="1"/>
    <col min="6" max="6" width="10.81640625" customWidth="1"/>
    <col min="7" max="7" width="11" customWidth="1"/>
    <col min="8" max="8" width="8" customWidth="1"/>
    <col min="9" max="9" width="8.7265625" customWidth="1"/>
    <col min="10" max="10" width="10.81640625" customWidth="1"/>
    <col min="11" max="11" width="8.54296875" customWidth="1"/>
    <col min="12" max="12" width="7.54296875" customWidth="1"/>
    <col min="13" max="13" width="9" customWidth="1"/>
    <col min="14" max="14" width="10.26953125" customWidth="1"/>
    <col min="15" max="15" width="9.7265625" customWidth="1"/>
    <col min="16" max="16" width="7.81640625" style="1" customWidth="1"/>
    <col min="17" max="17" width="8.453125" customWidth="1"/>
    <col min="18" max="18" width="10.453125" customWidth="1"/>
    <col min="19" max="20" width="10.7265625" customWidth="1"/>
    <col min="21" max="21" width="11" customWidth="1"/>
    <col min="22" max="22" width="9" style="2" customWidth="1"/>
    <col min="23" max="23" width="11.453125" style="2"/>
    <col min="24" max="24" width="11.54296875" style="3"/>
    <col min="25" max="1025" width="11.54296875"/>
  </cols>
  <sheetData>
    <row r="1" spans="1:24" ht="91" x14ac:dyDescent="0.25">
      <c r="A1" s="4" t="s">
        <v>0</v>
      </c>
      <c r="B1" s="4" t="s">
        <v>1</v>
      </c>
      <c r="C1" s="4" t="s">
        <v>2</v>
      </c>
      <c r="D1" s="4" t="s">
        <v>3</v>
      </c>
      <c r="E1" s="5" t="s">
        <v>4</v>
      </c>
      <c r="F1" s="6" t="s">
        <v>5</v>
      </c>
      <c r="G1" s="7" t="s">
        <v>6</v>
      </c>
      <c r="H1" s="8" t="s">
        <v>7</v>
      </c>
      <c r="I1" s="9" t="s">
        <v>8</v>
      </c>
      <c r="J1" s="9" t="s">
        <v>9</v>
      </c>
      <c r="K1" s="9" t="s">
        <v>10</v>
      </c>
      <c r="L1" s="10" t="s">
        <v>11</v>
      </c>
      <c r="M1" s="10" t="s">
        <v>12</v>
      </c>
      <c r="N1" s="10" t="s">
        <v>13</v>
      </c>
      <c r="O1" s="10" t="s">
        <v>14</v>
      </c>
      <c r="P1" s="11" t="s">
        <v>15</v>
      </c>
      <c r="Q1" s="12" t="s">
        <v>16</v>
      </c>
      <c r="R1" s="10" t="s">
        <v>17</v>
      </c>
      <c r="S1" s="10" t="s">
        <v>18</v>
      </c>
      <c r="T1" s="10" t="s">
        <v>19</v>
      </c>
      <c r="U1" s="10" t="s">
        <v>20</v>
      </c>
      <c r="V1" s="13" t="s">
        <v>21</v>
      </c>
      <c r="W1" s="14" t="s">
        <v>22</v>
      </c>
      <c r="X1" s="15" t="s">
        <v>23</v>
      </c>
    </row>
    <row r="2" spans="1:24" x14ac:dyDescent="0.3">
      <c r="A2" s="16">
        <v>0.4</v>
      </c>
      <c r="B2" s="17">
        <v>133</v>
      </c>
      <c r="C2" s="17">
        <v>25</v>
      </c>
      <c r="D2" s="17">
        <v>6</v>
      </c>
      <c r="E2" s="18">
        <v>9</v>
      </c>
      <c r="F2" s="19">
        <v>800</v>
      </c>
      <c r="G2" s="20">
        <v>35</v>
      </c>
      <c r="H2" s="21">
        <f>100/G2</f>
        <v>2.8571428571428572</v>
      </c>
      <c r="I2" s="22">
        <f>82/575</f>
        <v>0.14260869565217391</v>
      </c>
      <c r="J2" s="22">
        <v>7.1</v>
      </c>
      <c r="K2" s="23">
        <v>3</v>
      </c>
      <c r="L2" s="24">
        <f>(B2/D2)</f>
        <v>22.166666666666668</v>
      </c>
      <c r="M2" s="25">
        <f>J2*L2</f>
        <v>157.38333333333333</v>
      </c>
      <c r="N2" s="24">
        <f>B2+(C2*L2)+(C2*2)</f>
        <v>737.16666666666674</v>
      </c>
      <c r="O2" s="25">
        <f>N2*I2</f>
        <v>105.12637681159421</v>
      </c>
      <c r="P2" s="26">
        <f>O2+M2</f>
        <v>262.50971014492757</v>
      </c>
      <c r="Q2" s="27">
        <f>L2*F2*0.43</f>
        <v>7625.3333333333339</v>
      </c>
      <c r="R2" s="24">
        <f>Q2*H2</f>
        <v>21786.666666666668</v>
      </c>
      <c r="S2" s="25">
        <f>(R2/1000)*E2</f>
        <v>196.08</v>
      </c>
      <c r="T2" s="25">
        <f>S2+P2</f>
        <v>458.58971014492761</v>
      </c>
      <c r="U2" s="25">
        <f>5.6*L2/5</f>
        <v>24.826666666666664</v>
      </c>
      <c r="V2" s="28">
        <f>Q2*A2</f>
        <v>3050.1333333333337</v>
      </c>
      <c r="W2" s="29">
        <f>V2-(S2)</f>
        <v>2854.0533333333337</v>
      </c>
      <c r="X2" s="30">
        <f>V2-(S2+U2)</f>
        <v>2829.2266666666669</v>
      </c>
    </row>
    <row r="3" spans="1:24" x14ac:dyDescent="0.3">
      <c r="A3" s="31"/>
      <c r="B3" s="32"/>
      <c r="C3" s="33"/>
      <c r="D3" s="34"/>
      <c r="E3" s="32"/>
      <c r="F3" s="34"/>
      <c r="G3" s="35">
        <f>G2*0.94</f>
        <v>32.9</v>
      </c>
      <c r="H3" s="21">
        <f>100/G3</f>
        <v>3.0395136778115504</v>
      </c>
      <c r="I3" s="34"/>
      <c r="J3" s="34"/>
      <c r="K3" s="23">
        <v>4</v>
      </c>
      <c r="L3" s="24">
        <f>L2</f>
        <v>22.166666666666668</v>
      </c>
      <c r="M3" s="25">
        <f>M2</f>
        <v>157.38333333333333</v>
      </c>
      <c r="N3" s="24">
        <f>N2</f>
        <v>737.16666666666674</v>
      </c>
      <c r="O3" s="25">
        <f>O2</f>
        <v>105.12637681159421</v>
      </c>
      <c r="P3" s="26">
        <f>P2</f>
        <v>262.50971014492757</v>
      </c>
      <c r="Q3" s="27">
        <f>L3*F2*0.3</f>
        <v>5320.0000000000009</v>
      </c>
      <c r="R3" s="24">
        <f>Q3*H3</f>
        <v>16170.212765957451</v>
      </c>
      <c r="S3" s="25">
        <f>R3/1000*E2</f>
        <v>145.53191489361706</v>
      </c>
      <c r="T3" s="25">
        <f>S3+P3</f>
        <v>408.04162503854462</v>
      </c>
      <c r="U3" s="25">
        <f>5.6*L3/5</f>
        <v>24.826666666666664</v>
      </c>
      <c r="V3" s="28">
        <f>Q3*A2</f>
        <v>2128.0000000000005</v>
      </c>
      <c r="W3" s="29">
        <f>V3-(S3)</f>
        <v>1982.4680851063833</v>
      </c>
      <c r="X3" s="30">
        <f>V3-(S3+U3)</f>
        <v>1957.6414184397167</v>
      </c>
    </row>
    <row r="4" spans="1:24" x14ac:dyDescent="0.3">
      <c r="B4" s="36"/>
      <c r="C4" s="37"/>
      <c r="D4" s="36"/>
      <c r="E4" s="38"/>
      <c r="F4" s="36"/>
      <c r="G4" s="36"/>
      <c r="H4" s="36"/>
      <c r="I4" s="36"/>
      <c r="J4" s="36"/>
      <c r="O4" s="39"/>
    </row>
    <row r="5" spans="1:24" x14ac:dyDescent="0.3">
      <c r="B5" s="40" t="s">
        <v>24</v>
      </c>
      <c r="C5" s="37"/>
      <c r="D5" s="36"/>
      <c r="E5" s="38"/>
      <c r="F5" s="36"/>
      <c r="G5" s="36"/>
      <c r="H5" s="36"/>
      <c r="I5" s="36"/>
      <c r="J5" s="36"/>
      <c r="O5" s="39"/>
    </row>
    <row r="6" spans="1:24" x14ac:dyDescent="0.3">
      <c r="B6" s="41" t="s">
        <v>25</v>
      </c>
      <c r="C6" s="37"/>
      <c r="D6" s="36"/>
      <c r="E6" s="38"/>
      <c r="F6" s="36"/>
      <c r="G6" s="36"/>
      <c r="H6" s="36"/>
      <c r="I6" s="36"/>
      <c r="J6" s="36"/>
      <c r="O6" s="39"/>
    </row>
    <row r="7" spans="1:24" x14ac:dyDescent="0.3">
      <c r="B7" s="42" t="s">
        <v>26</v>
      </c>
      <c r="C7" s="37"/>
      <c r="D7" s="36"/>
      <c r="E7" s="38"/>
      <c r="F7" s="36"/>
      <c r="G7" s="36"/>
      <c r="H7" s="36"/>
      <c r="I7" s="36"/>
      <c r="J7" s="36"/>
      <c r="O7" s="39"/>
    </row>
    <row r="8" spans="1:24" x14ac:dyDescent="0.3">
      <c r="B8" s="43" t="s">
        <v>27</v>
      </c>
      <c r="C8" s="37"/>
      <c r="D8" s="36"/>
      <c r="E8" s="38"/>
      <c r="F8" s="36"/>
      <c r="G8" s="36"/>
      <c r="H8" s="36"/>
      <c r="I8" s="36"/>
      <c r="J8" s="36"/>
      <c r="O8" s="39"/>
    </row>
    <row r="9" spans="1:24" x14ac:dyDescent="0.3">
      <c r="B9" s="44"/>
      <c r="C9" s="37"/>
      <c r="D9" s="36"/>
      <c r="E9" s="38"/>
      <c r="F9" s="36"/>
      <c r="G9" s="36"/>
      <c r="H9" s="36"/>
      <c r="I9" s="36"/>
      <c r="J9" s="36"/>
      <c r="O9" s="39"/>
    </row>
    <row r="12" spans="1:24" s="46" customFormat="1" ht="50" x14ac:dyDescent="0.25">
      <c r="A12"/>
      <c r="B12" s="45" t="s">
        <v>28</v>
      </c>
      <c r="C12" s="45" t="s">
        <v>29</v>
      </c>
      <c r="E12" s="47" t="s">
        <v>30</v>
      </c>
      <c r="F12" s="47" t="s">
        <v>31</v>
      </c>
      <c r="H12" s="38"/>
      <c r="I12" s="48" t="s">
        <v>32</v>
      </c>
      <c r="P12" s="49"/>
      <c r="V12" s="50"/>
      <c r="W12" s="50"/>
      <c r="X12" s="51"/>
    </row>
    <row r="13" spans="1:24" x14ac:dyDescent="0.3">
      <c r="B13" s="52" t="s">
        <v>33</v>
      </c>
      <c r="C13" s="53">
        <v>7.6921830927835</v>
      </c>
      <c r="E13" s="54">
        <v>1</v>
      </c>
      <c r="F13" s="55">
        <v>7</v>
      </c>
      <c r="H13" s="56" t="s">
        <v>33</v>
      </c>
      <c r="I13" s="56">
        <v>400</v>
      </c>
    </row>
    <row r="14" spans="1:24" x14ac:dyDescent="0.3">
      <c r="B14" s="52" t="s">
        <v>34</v>
      </c>
      <c r="C14" s="53">
        <v>63.728999999999999</v>
      </c>
      <c r="E14" s="54">
        <v>1.5</v>
      </c>
      <c r="F14" s="55">
        <v>9</v>
      </c>
      <c r="H14" s="56" t="s">
        <v>34</v>
      </c>
      <c r="I14" s="56">
        <v>900</v>
      </c>
    </row>
    <row r="15" spans="1:24" x14ac:dyDescent="0.3">
      <c r="B15" s="57" t="s">
        <v>35</v>
      </c>
      <c r="C15" s="58">
        <v>31.073467538639498</v>
      </c>
      <c r="E15" s="54">
        <v>2</v>
      </c>
      <c r="F15" s="55">
        <v>11</v>
      </c>
    </row>
    <row r="16" spans="1:24" x14ac:dyDescent="0.3">
      <c r="B16" s="57" t="s">
        <v>36</v>
      </c>
      <c r="C16" s="58">
        <v>34.9352448363571</v>
      </c>
      <c r="E16" s="54" t="s">
        <v>37</v>
      </c>
      <c r="F16" s="55">
        <v>17</v>
      </c>
    </row>
    <row r="17" spans="1:24" s="60" customFormat="1" ht="100.5" x14ac:dyDescent="0.3">
      <c r="A17"/>
      <c r="B17" s="59" t="s">
        <v>38</v>
      </c>
      <c r="P17" s="61"/>
      <c r="V17" s="62"/>
      <c r="W17" s="62"/>
      <c r="X17" s="63"/>
    </row>
  </sheetData>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356</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Acknowledgements</vt:lpstr>
      <vt:lpstr>Cost Benefit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Marissa McMahan</dc:creator>
  <dc:description/>
  <cp:lastModifiedBy>CHuber</cp:lastModifiedBy>
  <cp:revision>10</cp:revision>
  <dcterms:created xsi:type="dcterms:W3CDTF">2021-03-20T09:36:21Z</dcterms:created>
  <dcterms:modified xsi:type="dcterms:W3CDTF">2021-06-24T14:55:40Z</dcterms:modified>
  <dc:language>en-US</dc:language>
</cp:coreProperties>
</file>