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Okra" sheetId="2" r:id="rId5"/>
    <sheet state="visible" name="Fish peppers" sheetId="3" r:id="rId6"/>
  </sheets>
  <definedNames/>
  <calcPr/>
  <extLst>
    <ext uri="GoogleSheetsCustomDataVersion2">
      <go:sheetsCustomData xmlns:go="http://customooxmlschemas.google.com/" r:id="rId7" roundtripDataChecksum="Y2JMQ5GQuio0PKpv+vBCyEwo9kcEq0quLX/rPUDeJi8="/>
    </ext>
  </extLst>
</workbook>
</file>

<file path=xl/sharedStrings.xml><?xml version="1.0" encoding="utf-8"?>
<sst xmlns="http://schemas.openxmlformats.org/spreadsheetml/2006/main" count="198" uniqueCount="101">
  <si>
    <t xml:space="preserve">These enterprise budgets were developed by Neith Little, UMD Extension, for Farm Alliance of Baltimore, as part of a grant funded by Northeast SARE. </t>
  </si>
  <si>
    <t xml:space="preserve">For questions, contact Neith Little at nglittle@umd.edu </t>
  </si>
  <si>
    <t>OKRA - 100 row feet</t>
  </si>
  <si>
    <t>PER YEAR</t>
  </si>
  <si>
    <t>ITEM</t>
  </si>
  <si>
    <t>UNIT</t>
  </si>
  <si>
    <t>QUANTITY</t>
  </si>
  <si>
    <t>PRICE</t>
  </si>
  <si>
    <t>TOTAL</t>
  </si>
  <si>
    <t>Assumptions and notes</t>
  </si>
  <si>
    <t>INCOME</t>
  </si>
  <si>
    <t>OKRA - WHOLESALE</t>
  </si>
  <si>
    <t>POUND</t>
  </si>
  <si>
    <t>FAB yielded 170 lbs okra from 200 row feet (~150 plants), harvested over 13 weeks. That converts to 85 lbs per 100 row feet total and about 6.5 lbs per week. A pint holds about 3/4 of a lb of okra</t>
  </si>
  <si>
    <t>OKRA - FARMERS MARKET</t>
  </si>
  <si>
    <t>PINT</t>
  </si>
  <si>
    <t xml:space="preserve">Rabin et al. (2012) projects about 100 lbs okra yield per 100 feet. I assume 2/3 of yield went to farmers market and 1/3 went to wholesale customer. Farmers can adjust their market outlets to improve profitability and logistics. </t>
  </si>
  <si>
    <t>GROSS INCOME</t>
  </si>
  <si>
    <t>VARIABLE/OPERATING COSTS</t>
  </si>
  <si>
    <t>SEEDS</t>
  </si>
  <si>
    <t>PACKET</t>
  </si>
  <si>
    <t xml:space="preserve">FAB purchased their own seeds and then provided those seeds to a contract transplant grower, to whom they paid $23 per 72 cell flat of okra seedlings. </t>
  </si>
  <si>
    <t>TRANSPLANTS</t>
  </si>
  <si>
    <t>FLAT (72-cell)</t>
  </si>
  <si>
    <t xml:space="preserve">Farmers can reduce input costs by growing their own transplants, but that would increase infrastructure needs and introduce an added elemant of risk due to increased chances of transplant failure for inexperienced growers. </t>
  </si>
  <si>
    <t>FERTILIZER,  ORGANIC NITROGEN</t>
  </si>
  <si>
    <t>BAG (50 lb)</t>
  </si>
  <si>
    <t xml:space="preserve">Follow local nutrient management recommendations and regulations. These calculations are based FAB's fertilizer use in 2022. Additionally, Wyenandt et al. (2022) is a good source for fertilizer recommendations for a variety of vegetable crops. </t>
  </si>
  <si>
    <t>FERTILIZER, BONE MEAL</t>
  </si>
  <si>
    <t>PLASTIC MULCH</t>
  </si>
  <si>
    <t>ROLL (4x1000 ft)</t>
  </si>
  <si>
    <t xml:space="preserve">2023 prices: $107 for roll, $30 for shipping. Alternatively, FAB and many urban farms use reusable landscape fabric, with holes burned into it. This is a higher initial purchase cost, but can be reused for years. </t>
  </si>
  <si>
    <t>TRICKLE TUBE</t>
  </si>
  <si>
    <t>ROLL, 100 ft</t>
  </si>
  <si>
    <t xml:space="preserve">2023 prices: $230 per roll, plus $30 shipping. Can be reused for at least two years. </t>
  </si>
  <si>
    <t>PINT CONTAINERS</t>
  </si>
  <si>
    <t>CARTON (500)</t>
  </si>
  <si>
    <t>2023 prices: $70 per carton of 500</t>
  </si>
  <si>
    <t>INTEREST ON OPERATING CAPITAL</t>
  </si>
  <si>
    <t xml:space="preserve">Not calculated for this enterprise budget. But if grower uses credit cards or FSA operating loans for start-up funds in the spring, they can calculate this cost as the subtotal of all above costs, multiplied by the interest rate. </t>
  </si>
  <si>
    <t>TOTAL VARIABLE COSTS LISTED ABOVE</t>
  </si>
  <si>
    <t>FIXED/OVERHEAD COSTS</t>
  </si>
  <si>
    <t>SOIL TEST (every 3 years)</t>
  </si>
  <si>
    <t>SAMPLE</t>
  </si>
  <si>
    <t>2023 prices: from $14 to $20  per sample, plus shipping. This calculation assumes that soil testing is done every 3 years and that okra is grown in a larger bed with at least 5 kinds of vegetables and the soil testing cost is split among those enterprises. (20% of cost of $15 sample and $30 shipping)/3</t>
  </si>
  <si>
    <t>LABOR</t>
  </si>
  <si>
    <t xml:space="preserve">Note for all labor costs. Thriftily managing labor time is the most important factor affecting profitability on most vegetable farms.  FAB has two skilled farmer employees and multiple summer interns or trainees. Labor calculations are based on their records of how much time employees paid different hourly rates worked on each task. Generally, skilled labor could complete tasks faster with fewer errors, but at higher hourly pay rate. </t>
  </si>
  <si>
    <t>BED PREPARATION LABOR - SKILLED</t>
  </si>
  <si>
    <t>HOUR</t>
  </si>
  <si>
    <t xml:space="preserve">Prior to planting, tilling, amendments, put down drip tape, cloth mulch, staples. </t>
  </si>
  <si>
    <t>BED PREPARATION LABOR - ENTRY LEVEL</t>
  </si>
  <si>
    <t>PLANTING LABOR - SKILLED</t>
  </si>
  <si>
    <t xml:space="preserve">Supervisor instructed entry-level workers, then checked in part-way through for quality control. </t>
  </si>
  <si>
    <t>PLANTING LABOR - ENTRY LEVEL</t>
  </si>
  <si>
    <t xml:space="preserve">Planted transplants in 100 foot beds, 30 inches wide, 2 rows per bed. 16 inch spacing. This enterprise budget is based on one 100-ft by 15" row. </t>
  </si>
  <si>
    <t>IRRIGATION LABOR - SKILLED</t>
  </si>
  <si>
    <t xml:space="preserve">Lack of reliable water took a lot of time. Had to go get water to fill IBC totes, then use gravity assist to pump water through drip irrigation system. About 2 hours per week of work, for entire market garden bed, which contained twelve rows of crops. </t>
  </si>
  <si>
    <t>WEEDING LABOR - ENTRY LEVEL</t>
  </si>
  <si>
    <t xml:space="preserve">Mulch greatly reduced weed pressure. Most weed control time was used weedwhacking grass paths around beds. </t>
  </si>
  <si>
    <t>HARVESTING LABOR - SKILLED</t>
  </si>
  <si>
    <t xml:space="preserve">Instructing entry-level labor on harvesting methods. </t>
  </si>
  <si>
    <t>HARVESTING LABOR - ENTRY LEVEL</t>
  </si>
  <si>
    <t xml:space="preserve">Harvested 40 times. 1 hr each time for 100 row feet. Harvesting, weighing, packaging, storing. No wash. No curing. </t>
  </si>
  <si>
    <t>RENT, WALK-IN COOLER</t>
  </si>
  <si>
    <t>MONTH</t>
  </si>
  <si>
    <t>FARMERS MARKET LABOR</t>
  </si>
  <si>
    <t xml:space="preserve">7 hours per market, about 24 days per year, 12 crops sold there from BBUFA farm, plus produce from FAB member farmers. Allocated 1/20th of market time to okra enterprise. </t>
  </si>
  <si>
    <t>MILEAGE TO FARMERS MARKET</t>
  </si>
  <si>
    <t>MILE</t>
  </si>
  <si>
    <t xml:space="preserve">18 miles round-trip. </t>
  </si>
  <si>
    <t>FARMERS MARKET VENDOR FEE, ANNUAL</t>
  </si>
  <si>
    <t>STALL</t>
  </si>
  <si>
    <t>LAND CHARGE</t>
  </si>
  <si>
    <t>LOT</t>
  </si>
  <si>
    <t xml:space="preserve">FAB pays no rent on this piece of land. Other growers will need to factor land rent or mortgage payments into their enterprise budgets. </t>
  </si>
  <si>
    <t>TOTAL FIXED COST LISTED ABOVE</t>
  </si>
  <si>
    <t>TOTAL VARIABLE AND FIXED COST LISTED ABOVE</t>
  </si>
  <si>
    <t>NET INCOME OVER VARIABLE &amp; FIXED COSTS LISTED ABOVE</t>
  </si>
  <si>
    <t>PRICES</t>
  </si>
  <si>
    <t>NET INCOME ABOVE VARIABLE AND</t>
  </si>
  <si>
    <t>YIELDS</t>
  </si>
  <si>
    <t>FIXED COSTS LISTED ABOVE FOR</t>
  </si>
  <si>
    <t>VARIOUS YIELDS AND PRICES</t>
  </si>
  <si>
    <t xml:space="preserve">Even if you exceed Rabin et al. (2012)'s predicted yields and raised the selling price by 50%, you would not break even on okra at these input costs. </t>
  </si>
  <si>
    <t>Citations:</t>
  </si>
  <si>
    <t>Rabin, J., Zinati, G., &amp; Nitzsche, P. (2012). Yield Expectations for Mixed Stand, Small-Scale Agriculture. Monthly Briefing, Vol 7 Issue 1, 7(1), 1–4. https://njaes.rutgers.edu/pubs/urbanfringe/pdfs/urbanfringe-v07n01.pdf</t>
  </si>
  <si>
    <t>Wyenandt, A., Vuuren, M. van, Kuhar, T., Hamilton, G., Hastings, P., VanGessel, M., &amp; Johnson, G. (2022). Mid-Atlantic Commercial Vegetable Production Recommendations. https://njaes.rutgers.edu/pubs/publication.php?pid=e001</t>
  </si>
  <si>
    <t xml:space="preserve">CONCLUSION: </t>
  </si>
  <si>
    <t>Harvesting labor is the biggest expense. Consider growing okra as a pick-your-own crop.</t>
  </si>
  <si>
    <t xml:space="preserve">But even with harvesting labor eliminated, breaking even would still require increasing yields and prices. Recognize that farm profitability is based on the economic assumption of less than minimum wage labor. </t>
  </si>
  <si>
    <t>BALTIMORE FISH PEPPERS - 100 row feet</t>
  </si>
  <si>
    <t>FISH PEPPERS - WHOLESALE</t>
  </si>
  <si>
    <t xml:space="preserve">FAB yielded 395 lbs fish peppersokra from 400 row feet (~420 plants). That converts to 99 lbs per 100 row feet total. Assumes 1/4 lb peppers per half-pint container. </t>
  </si>
  <si>
    <t>FISH PEPPERS - FARMERS MARKET</t>
  </si>
  <si>
    <t>HALF-PINT</t>
  </si>
  <si>
    <t xml:space="preserve">I assume 2/3 of yield went to farmers market and 1/3 went to wholesale customer. Farmers can adjust their market outlets to improve profitability and logistics. </t>
  </si>
  <si>
    <t xml:space="preserve">FAB purchased their own seeds and then provided those seeds to a contract transplant grower, to whom they paid $30 per 50 cell flat of pepper seedlings. </t>
  </si>
  <si>
    <t>HALF-PINT CONTAINERS</t>
  </si>
  <si>
    <t xml:space="preserve">Planted transplants in 100 foot beds, 30 inches wide, 2 rows per bed. 12 inch spacing. This enterprise budget is based on one 100-ft by 15" row. </t>
  </si>
  <si>
    <t xml:space="preserve">Even if you increase yields and raised the selling price by 50%, you would not break even on fish peppers at these input costs. </t>
  </si>
  <si>
    <t>Harvesting labor is the biggest expense. Consider growing fish peppers as a pick-your-own crop.</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</si>
</sst>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_);\(&quot;$&quot;#,##0.00\)"/>
    <numFmt numFmtId="165" formatCode="&quot;$&quot;#,##0.00"/>
    <numFmt numFmtId="166" formatCode="#,##0.0_);[Red]\(#,##0.0\)"/>
    <numFmt numFmtId="167" formatCode="_(&quot;$&quot;* #,##0.00_);_(&quot;$&quot;* \(#,##0.00\);_(&quot;$&quot;* &quot;-&quot;??_);_(@_)"/>
  </numFmts>
  <fonts count="11">
    <font>
      <sz val="11.0"/>
      <color theme="1"/>
      <name val="Calibri"/>
      <scheme val="minor"/>
    </font>
    <font>
      <color theme="1"/>
      <name val="Calibri"/>
      <scheme val="minor"/>
    </font>
    <font>
      <b/>
      <sz val="12.0"/>
      <color theme="1"/>
      <name val="Times New Roman"/>
    </font>
    <font>
      <sz val="12.0"/>
      <color theme="1"/>
      <name val="Calibri"/>
      <scheme val="minor"/>
    </font>
    <font>
      <sz val="12.0"/>
      <color theme="1"/>
      <name val="Times New Roman"/>
    </font>
    <font>
      <b/>
      <sz val="12.0"/>
      <color theme="1"/>
      <name val="Calibri"/>
    </font>
    <font>
      <sz val="12.0"/>
      <color theme="1"/>
      <name val="Calibri"/>
    </font>
    <font>
      <sz val="12.0"/>
      <color rgb="FF000000"/>
      <name val="Times New Roman"/>
    </font>
    <font>
      <sz val="12.0"/>
      <color rgb="FF000000"/>
      <name val="Calibri"/>
    </font>
    <font>
      <u/>
      <sz val="12.0"/>
      <color theme="1"/>
      <name val="Times New Roman"/>
    </font>
    <font>
      <u/>
      <sz val="12.0"/>
      <color theme="1"/>
      <name val="Times New Roman"/>
    </font>
  </fonts>
  <fills count="2">
    <fill>
      <patternFill patternType="none"/>
    </fill>
    <fill>
      <patternFill patternType="lightGray"/>
    </fill>
  </fills>
  <borders count="27">
    <border/>
    <border>
      <bottom style="thick">
        <color rgb="FF000000"/>
      </bottom>
    </border>
    <border>
      <left style="thin">
        <color rgb="FF000000"/>
      </left>
      <right style="thin">
        <color rgb="FF000000"/>
      </right>
      <top style="thick">
        <color rgb="FF000000"/>
      </top>
      <bottom style="thick">
        <color rgb="FF000000"/>
      </bottom>
    </border>
    <border>
      <left style="thin">
        <color rgb="FF000000"/>
      </left>
      <top style="thick">
        <color rgb="FF000000"/>
      </top>
      <bottom style="thin">
        <color rgb="FF000000"/>
      </bottom>
    </border>
    <border>
      <top style="thick">
        <color rgb="FF000000"/>
      </top>
      <bottom style="thin">
        <color rgb="FF000000"/>
      </bottom>
    </border>
    <border>
      <right style="thin">
        <color rgb="FF000000"/>
      </right>
      <top style="thick">
        <color rgb="FF000000"/>
      </top>
      <bottom style="thin">
        <color rgb="FF000000"/>
      </bottom>
    </border>
    <border>
      <right style="thin">
        <color rgb="FF000000"/>
      </right>
      <bottom style="thick">
        <color rgb="FF000000"/>
      </bottom>
    </border>
    <border>
      <left style="thin">
        <color rgb="FF000000"/>
      </left>
      <right style="thin">
        <color rgb="FF000000"/>
      </right>
      <top style="thin">
        <color rgb="FF000000"/>
      </top>
      <bottom style="thin">
        <color rgb="FF000000"/>
      </bottom>
    </border>
    <border>
      <right style="thin">
        <color rgb="FF000000"/>
      </right>
    </border>
    <border>
      <left style="thin">
        <color rgb="FF000000"/>
      </lef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ck">
        <color rgb="FF000000"/>
      </top>
    </border>
    <border>
      <top style="thick">
        <color rgb="FF000000"/>
      </top>
    </border>
    <border>
      <right style="thin">
        <color rgb="FF000000"/>
      </right>
      <top style="thick">
        <color rgb="FF000000"/>
      </top>
    </border>
    <border>
      <left style="thin">
        <color rgb="FF000000"/>
      </left>
      <bottom style="thick">
        <color rgb="FF000000"/>
      </bottom>
    </border>
    <border>
      <left style="thin">
        <color rgb="FF000000"/>
      </left>
      <right style="thin">
        <color rgb="FF000000"/>
      </right>
      <top style="thin">
        <color rgb="FF000000"/>
      </top>
      <bottom style="medium">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0" fillId="0" fontId="1" numFmtId="0" xfId="0" applyFont="1"/>
    <xf quotePrefix="1" borderId="0" fillId="0" fontId="2" numFmtId="0" xfId="0" applyAlignment="1" applyFont="1">
      <alignment horizontal="left"/>
    </xf>
    <xf borderId="1" fillId="0" fontId="2" numFmtId="0" xfId="0" applyAlignment="1" applyBorder="1" applyFont="1">
      <alignment horizontal="left"/>
    </xf>
    <xf quotePrefix="1" borderId="1" fillId="0" fontId="2" numFmtId="0" xfId="0" applyAlignment="1" applyBorder="1" applyFont="1">
      <alignment horizontal="left"/>
    </xf>
    <xf borderId="1" fillId="0" fontId="2" numFmtId="0" xfId="0" applyAlignment="1" applyBorder="1" applyFont="1">
      <alignment horizontal="right"/>
    </xf>
    <xf borderId="0" fillId="0" fontId="3" numFmtId="0" xfId="0" applyFont="1"/>
    <xf borderId="0" fillId="0" fontId="3" numFmtId="0" xfId="0" applyAlignment="1" applyFont="1">
      <alignment shrinkToFit="0" wrapText="1"/>
    </xf>
    <xf borderId="2" fillId="0" fontId="4" numFmtId="0" xfId="0" applyAlignment="1" applyBorder="1" applyFont="1">
      <alignment vertical="top"/>
    </xf>
    <xf borderId="2" fillId="0" fontId="4" numFmtId="0" xfId="0" applyAlignment="1" applyBorder="1" applyFont="1">
      <alignment horizontal="center" shrinkToFit="0" wrapText="1"/>
    </xf>
    <xf borderId="2" fillId="0" fontId="4" numFmtId="0" xfId="0" applyAlignment="1" applyBorder="1" applyFont="1">
      <alignment horizontal="center"/>
    </xf>
    <xf borderId="2" fillId="0" fontId="4" numFmtId="164" xfId="0" applyAlignment="1" applyBorder="1" applyFont="1" applyNumberFormat="1">
      <alignment horizontal="center"/>
    </xf>
    <xf borderId="0" fillId="0" fontId="2" numFmtId="0" xfId="0" applyAlignment="1" applyFont="1">
      <alignment horizontal="center" shrinkToFit="0" wrapText="1"/>
    </xf>
    <xf borderId="0" fillId="0" fontId="5" numFmtId="0" xfId="0" applyFont="1"/>
    <xf quotePrefix="1" borderId="3" fillId="0" fontId="2" numFmtId="0" xfId="0" applyAlignment="1" applyBorder="1" applyFont="1">
      <alignment horizontal="left"/>
    </xf>
    <xf borderId="4" fillId="0" fontId="4" numFmtId="0" xfId="0" applyAlignment="1" applyBorder="1" applyFont="1">
      <alignment shrinkToFit="0" vertical="top" wrapText="1"/>
    </xf>
    <xf borderId="4" fillId="0" fontId="4" numFmtId="0" xfId="0" applyAlignment="1" applyBorder="1" applyFont="1">
      <alignment vertical="top"/>
    </xf>
    <xf borderId="5" fillId="0" fontId="4" numFmtId="0" xfId="0" applyAlignment="1" applyBorder="1" applyFont="1">
      <alignment vertical="top"/>
    </xf>
    <xf borderId="0" fillId="0" fontId="4" numFmtId="0" xfId="0" applyAlignment="1" applyFont="1">
      <alignment vertical="top"/>
    </xf>
    <xf borderId="0" fillId="0" fontId="4" numFmtId="0" xfId="0" applyAlignment="1" applyFont="1">
      <alignment shrinkToFit="0" vertical="top" wrapText="1"/>
    </xf>
    <xf borderId="6" fillId="0" fontId="4" numFmtId="0" xfId="0" applyAlignment="1" applyBorder="1" applyFont="1">
      <alignment vertical="top"/>
    </xf>
    <xf borderId="0" fillId="0" fontId="4" numFmtId="165" xfId="0" applyAlignment="1" applyFont="1" applyNumberFormat="1">
      <alignment vertical="top"/>
    </xf>
    <xf borderId="7" fillId="0" fontId="4" numFmtId="165" xfId="0" applyBorder="1" applyFont="1" applyNumberFormat="1"/>
    <xf borderId="0" fillId="0" fontId="6" numFmtId="0" xfId="0" applyAlignment="1" applyFont="1">
      <alignment shrinkToFit="0" wrapText="1"/>
    </xf>
    <xf borderId="0" fillId="0" fontId="6" numFmtId="0" xfId="0" applyFont="1"/>
    <xf borderId="6" fillId="0" fontId="4" numFmtId="0" xfId="0" applyAlignment="1" applyBorder="1" applyFont="1">
      <alignment shrinkToFit="0" vertical="top" wrapText="1"/>
    </xf>
    <xf borderId="1" fillId="0" fontId="4" numFmtId="165" xfId="0" applyAlignment="1" applyBorder="1" applyFont="1" applyNumberFormat="1">
      <alignment vertical="top"/>
    </xf>
    <xf borderId="0" fillId="0" fontId="2" numFmtId="0" xfId="0" applyAlignment="1" applyFont="1">
      <alignment horizontal="right" vertical="top"/>
    </xf>
    <xf borderId="8" fillId="0" fontId="4" numFmtId="165" xfId="0" applyBorder="1" applyFont="1" applyNumberFormat="1"/>
    <xf borderId="0" fillId="0" fontId="4" numFmtId="165" xfId="0" applyFont="1" applyNumberFormat="1"/>
    <xf quotePrefix="1" borderId="9" fillId="0" fontId="2" numFmtId="0" xfId="0" applyAlignment="1" applyBorder="1" applyFont="1">
      <alignment horizontal="left"/>
    </xf>
    <xf quotePrefix="1" borderId="7" fillId="0" fontId="4" numFmtId="0" xfId="0" applyAlignment="1" applyBorder="1" applyFont="1">
      <alignment horizontal="left"/>
    </xf>
    <xf borderId="7" fillId="0" fontId="4" numFmtId="0" xfId="0" applyAlignment="1" applyBorder="1" applyFont="1">
      <alignment shrinkToFit="0" vertical="top" wrapText="1"/>
    </xf>
    <xf borderId="7" fillId="0" fontId="4" numFmtId="0" xfId="0" applyAlignment="1" applyBorder="1" applyFont="1">
      <alignment vertical="top"/>
    </xf>
    <xf borderId="7" fillId="0" fontId="4" numFmtId="165" xfId="0" applyAlignment="1" applyBorder="1" applyFont="1" applyNumberFormat="1">
      <alignment vertical="top"/>
    </xf>
    <xf borderId="10" fillId="0" fontId="4" numFmtId="0" xfId="0" applyAlignment="1" applyBorder="1" applyFont="1">
      <alignment horizontal="left"/>
    </xf>
    <xf borderId="10" fillId="0" fontId="4" numFmtId="0" xfId="0" applyAlignment="1" applyBorder="1" applyFont="1">
      <alignment shrinkToFit="0" vertical="top" wrapText="1"/>
    </xf>
    <xf borderId="10" fillId="0" fontId="4" numFmtId="166" xfId="0" applyAlignment="1" applyBorder="1" applyFont="1" applyNumberFormat="1">
      <alignment vertical="top"/>
    </xf>
    <xf borderId="10" fillId="0" fontId="4" numFmtId="165" xfId="0" applyAlignment="1" applyBorder="1" applyFont="1" applyNumberFormat="1">
      <alignment vertical="top"/>
    </xf>
    <xf borderId="10" fillId="0" fontId="4" numFmtId="165" xfId="0" applyBorder="1" applyFont="1" applyNumberFormat="1"/>
    <xf borderId="0" fillId="0" fontId="7" numFmtId="0" xfId="0" applyFont="1"/>
    <xf borderId="0" fillId="0" fontId="8" numFmtId="0" xfId="0" applyAlignment="1" applyFont="1">
      <alignment shrinkToFit="0" wrapText="1"/>
    </xf>
    <xf borderId="7" fillId="0" fontId="4" numFmtId="167" xfId="0" applyAlignment="1" applyBorder="1" applyFont="1" applyNumberFormat="1">
      <alignment shrinkToFit="0" vertical="top" wrapText="1"/>
    </xf>
    <xf borderId="11" fillId="0" fontId="4" numFmtId="0" xfId="0" applyAlignment="1" applyBorder="1" applyFont="1">
      <alignment vertical="top"/>
    </xf>
    <xf borderId="12" fillId="0" fontId="4" numFmtId="167" xfId="0" applyAlignment="1" applyBorder="1" applyFont="1" applyNumberFormat="1">
      <alignment shrinkToFit="0" vertical="top" wrapText="1"/>
    </xf>
    <xf borderId="12" fillId="0" fontId="4" numFmtId="0" xfId="0" applyAlignment="1" applyBorder="1" applyFont="1">
      <alignment vertical="top"/>
    </xf>
    <xf borderId="13" fillId="0" fontId="4" numFmtId="165" xfId="0" applyAlignment="1" applyBorder="1" applyFont="1" applyNumberFormat="1">
      <alignment vertical="top"/>
    </xf>
    <xf borderId="14" fillId="0" fontId="4" numFmtId="165" xfId="0" applyBorder="1" applyFont="1" applyNumberFormat="1"/>
    <xf borderId="15" fillId="0" fontId="2" numFmtId="0" xfId="0" applyAlignment="1" applyBorder="1" applyFont="1">
      <alignment vertical="top"/>
    </xf>
    <xf borderId="16" fillId="0" fontId="4" numFmtId="0" xfId="0" applyAlignment="1" applyBorder="1" applyFont="1">
      <alignment shrinkToFit="0" vertical="top" wrapText="1"/>
    </xf>
    <xf borderId="16" fillId="0" fontId="4" numFmtId="0" xfId="0" applyAlignment="1" applyBorder="1" applyFont="1">
      <alignment vertical="top"/>
    </xf>
    <xf borderId="17" fillId="0" fontId="4" numFmtId="165" xfId="0" applyAlignment="1" applyBorder="1" applyFont="1" applyNumberFormat="1">
      <alignment vertical="top"/>
    </xf>
    <xf borderId="18" fillId="0" fontId="4" numFmtId="165" xfId="0" applyBorder="1" applyFont="1" applyNumberFormat="1"/>
    <xf quotePrefix="1" borderId="19" fillId="0" fontId="2" numFmtId="0" xfId="0" applyAlignment="1" applyBorder="1" applyFont="1">
      <alignment horizontal="left"/>
    </xf>
    <xf borderId="20" fillId="0" fontId="4" numFmtId="0" xfId="0" applyAlignment="1" applyBorder="1" applyFont="1">
      <alignment horizontal="right" shrinkToFit="0" wrapText="1"/>
    </xf>
    <xf borderId="20" fillId="0" fontId="4" numFmtId="164" xfId="0" applyAlignment="1" applyBorder="1" applyFont="1" applyNumberFormat="1">
      <alignment horizontal="center"/>
    </xf>
    <xf borderId="20" fillId="0" fontId="4" numFmtId="165" xfId="0" applyAlignment="1" applyBorder="1" applyFont="1" applyNumberFormat="1">
      <alignment horizontal="right"/>
    </xf>
    <xf borderId="21" fillId="0" fontId="4" numFmtId="165" xfId="0" applyAlignment="1" applyBorder="1" applyFont="1" applyNumberFormat="1">
      <alignment horizontal="left"/>
    </xf>
    <xf borderId="7" fillId="0" fontId="4" numFmtId="2" xfId="0" applyAlignment="1" applyBorder="1" applyFont="1" applyNumberFormat="1">
      <alignment vertical="top"/>
    </xf>
    <xf borderId="7" fillId="0" fontId="4" numFmtId="1" xfId="0" applyAlignment="1" applyBorder="1" applyFont="1" applyNumberFormat="1">
      <alignment vertical="top"/>
    </xf>
    <xf borderId="7" fillId="0" fontId="4" numFmtId="0" xfId="0" applyAlignment="1" applyBorder="1" applyFont="1">
      <alignment horizontal="left"/>
    </xf>
    <xf borderId="7" fillId="0" fontId="4" numFmtId="4" xfId="0" applyAlignment="1" applyBorder="1" applyFont="1" applyNumberFormat="1">
      <alignment vertical="top"/>
    </xf>
    <xf borderId="15" fillId="0" fontId="4" numFmtId="0" xfId="0" applyAlignment="1" applyBorder="1" applyFont="1">
      <alignment vertical="top"/>
    </xf>
    <xf borderId="17" fillId="0" fontId="4" numFmtId="164" xfId="0" applyAlignment="1" applyBorder="1" applyFont="1" applyNumberFormat="1">
      <alignment vertical="top"/>
    </xf>
    <xf borderId="3" fillId="0" fontId="4" numFmtId="0" xfId="0" applyAlignment="1" applyBorder="1" applyFont="1">
      <alignment vertical="top"/>
    </xf>
    <xf borderId="5" fillId="0" fontId="4" numFmtId="164" xfId="0" applyAlignment="1" applyBorder="1" applyFont="1" applyNumberFormat="1">
      <alignment vertical="top"/>
    </xf>
    <xf borderId="9" fillId="0" fontId="4" numFmtId="0" xfId="0" applyAlignment="1" applyBorder="1" applyFont="1">
      <alignment vertical="top"/>
    </xf>
    <xf borderId="8" fillId="0" fontId="4" numFmtId="164" xfId="0" applyAlignment="1" applyBorder="1" applyFont="1" applyNumberFormat="1">
      <alignment vertical="top"/>
    </xf>
    <xf borderId="22" fillId="0" fontId="4" numFmtId="0" xfId="0" applyAlignment="1" applyBorder="1" applyFont="1">
      <alignment vertical="top"/>
    </xf>
    <xf borderId="23" fillId="0" fontId="4" numFmtId="0" xfId="0" applyAlignment="1" applyBorder="1" applyFont="1">
      <alignment vertical="top"/>
    </xf>
    <xf borderId="23" fillId="0" fontId="9" numFmtId="164" xfId="0" applyAlignment="1" applyBorder="1" applyFont="1" applyNumberFormat="1">
      <alignment horizontal="right"/>
    </xf>
    <xf borderId="24" fillId="0" fontId="4" numFmtId="167" xfId="0" applyBorder="1" applyFont="1" applyNumberFormat="1"/>
    <xf borderId="0" fillId="0" fontId="10" numFmtId="0" xfId="0" applyAlignment="1" applyFont="1">
      <alignment horizontal="right"/>
    </xf>
    <xf borderId="0" fillId="0" fontId="4" numFmtId="167" xfId="0" applyFont="1" applyNumberFormat="1"/>
    <xf borderId="8" fillId="0" fontId="4" numFmtId="167" xfId="0" applyBorder="1" applyFont="1" applyNumberFormat="1"/>
    <xf borderId="0" fillId="0" fontId="4" numFmtId="1" xfId="0" applyAlignment="1" applyFont="1" applyNumberFormat="1">
      <alignment horizontal="right"/>
    </xf>
    <xf borderId="7" fillId="0" fontId="4" numFmtId="167" xfId="0" applyBorder="1" applyFont="1" applyNumberFormat="1"/>
    <xf borderId="25" fillId="0" fontId="4" numFmtId="0" xfId="0" applyAlignment="1" applyBorder="1" applyFont="1">
      <alignment vertical="top"/>
    </xf>
    <xf borderId="1" fillId="0" fontId="4" numFmtId="1" xfId="0" applyAlignment="1" applyBorder="1" applyFont="1" applyNumberFormat="1">
      <alignment horizontal="right"/>
    </xf>
    <xf borderId="26" fillId="0" fontId="4" numFmtId="167" xfId="0" applyBorder="1" applyFont="1" applyNumberFormat="1"/>
    <xf quotePrefix="1" borderId="0" fillId="0" fontId="2" numFmtId="0" xfId="0" applyAlignment="1" applyFont="1">
      <alignment horizontal="left" shrinkToFit="0" wrapText="1"/>
    </xf>
    <xf borderId="2" fillId="0" fontId="4" numFmtId="0" xfId="0" applyAlignment="1" applyBorder="1" applyFont="1">
      <alignment shrinkToFit="0" vertical="top" wrapText="1"/>
    </xf>
    <xf quotePrefix="1" borderId="3" fillId="0" fontId="2" numFmtId="0" xfId="0" applyAlignment="1" applyBorder="1" applyFont="1">
      <alignment horizontal="left" shrinkToFit="0" wrapText="1"/>
    </xf>
    <xf borderId="0" fillId="0" fontId="2" numFmtId="0" xfId="0" applyAlignment="1" applyFont="1">
      <alignment horizontal="right" shrinkToFit="0" vertical="top" wrapText="1"/>
    </xf>
    <xf quotePrefix="1" borderId="9" fillId="0" fontId="2" numFmtId="0" xfId="0" applyAlignment="1" applyBorder="1" applyFont="1">
      <alignment horizontal="left" shrinkToFit="0" wrapText="1"/>
    </xf>
    <xf quotePrefix="1" borderId="7" fillId="0" fontId="4" numFmtId="0" xfId="0" applyAlignment="1" applyBorder="1" applyFont="1">
      <alignment horizontal="left" shrinkToFit="0" wrapText="1"/>
    </xf>
    <xf borderId="10" fillId="0" fontId="4" numFmtId="0" xfId="0" applyAlignment="1" applyBorder="1" applyFont="1">
      <alignment horizontal="left" shrinkToFit="0" wrapText="1"/>
    </xf>
    <xf borderId="11" fillId="0" fontId="4" numFmtId="0" xfId="0" applyAlignment="1" applyBorder="1" applyFont="1">
      <alignment shrinkToFit="0" vertical="top" wrapText="1"/>
    </xf>
    <xf borderId="15" fillId="0" fontId="2" numFmtId="0" xfId="0" applyAlignment="1" applyBorder="1" applyFont="1">
      <alignment shrinkToFit="0" vertical="top" wrapText="1"/>
    </xf>
    <xf quotePrefix="1" borderId="19" fillId="0" fontId="2" numFmtId="0" xfId="0" applyAlignment="1" applyBorder="1" applyFont="1">
      <alignment horizontal="left" shrinkToFit="0" wrapText="1"/>
    </xf>
    <xf borderId="7" fillId="0" fontId="4" numFmtId="0" xfId="0" applyAlignment="1" applyBorder="1" applyFont="1">
      <alignment horizontal="left" shrinkToFit="0" wrapText="1"/>
    </xf>
    <xf borderId="15" fillId="0" fontId="4" numFmtId="0" xfId="0" applyAlignment="1" applyBorder="1" applyFont="1">
      <alignment shrinkToFit="0" vertical="top" wrapText="1"/>
    </xf>
    <xf borderId="3" fillId="0" fontId="4" numFmtId="0" xfId="0" applyAlignment="1" applyBorder="1" applyFont="1">
      <alignment shrinkToFit="0" vertical="top" wrapText="1"/>
    </xf>
    <xf borderId="9" fillId="0" fontId="4" numFmtId="0" xfId="0" applyAlignment="1" applyBorder="1" applyFont="1">
      <alignment shrinkToFit="0" vertical="top" wrapText="1"/>
    </xf>
    <xf borderId="22" fillId="0" fontId="4" numFmtId="0" xfId="0" applyAlignment="1" applyBorder="1" applyFont="1">
      <alignment shrinkToFit="0" vertical="top" wrapText="1"/>
    </xf>
    <xf borderId="25" fillId="0" fontId="4" numFmtId="0" xfId="0" applyAlignment="1" applyBorder="1" applyFont="1">
      <alignment shrinkToFit="0" vertical="top" wrapText="1"/>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c r="A1" s="1" t="s">
        <v>0</v>
      </c>
    </row>
    <row r="2" ht="14.25" customHeight="1">
      <c r="A2" s="1" t="s">
        <v>1</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29"/>
    <col customWidth="1" min="2" max="2" width="10.71"/>
    <col customWidth="1" min="3" max="4" width="10.43"/>
    <col customWidth="1" min="5" max="5" width="11.14"/>
    <col customWidth="1" min="6" max="6" width="8.71"/>
    <col customWidth="1" min="7" max="7" width="92.86"/>
    <col customWidth="1" min="8" max="8" width="8.71"/>
  </cols>
  <sheetData>
    <row r="1" ht="14.25" customHeight="1">
      <c r="A1" s="2" t="s">
        <v>2</v>
      </c>
      <c r="B1" s="3"/>
      <c r="C1" s="4" t="s">
        <v>3</v>
      </c>
      <c r="D1" s="5"/>
      <c r="E1" s="3"/>
      <c r="F1" s="6"/>
      <c r="G1" s="7"/>
      <c r="H1" s="6"/>
    </row>
    <row r="2" ht="14.25" customHeight="1">
      <c r="A2" s="8" t="s">
        <v>4</v>
      </c>
      <c r="B2" s="9" t="s">
        <v>5</v>
      </c>
      <c r="C2" s="10" t="s">
        <v>6</v>
      </c>
      <c r="D2" s="10" t="s">
        <v>7</v>
      </c>
      <c r="E2" s="11" t="s">
        <v>8</v>
      </c>
      <c r="F2" s="6"/>
      <c r="G2" s="12" t="s">
        <v>9</v>
      </c>
      <c r="H2" s="13"/>
    </row>
    <row r="3" ht="14.25" customHeight="1">
      <c r="A3" s="14" t="s">
        <v>10</v>
      </c>
      <c r="B3" s="15"/>
      <c r="C3" s="16"/>
      <c r="D3" s="16"/>
      <c r="E3" s="17"/>
      <c r="F3" s="6"/>
      <c r="G3" s="7"/>
      <c r="H3" s="6"/>
    </row>
    <row r="4" ht="14.25" customHeight="1">
      <c r="A4" s="18" t="s">
        <v>11</v>
      </c>
      <c r="B4" s="19" t="s">
        <v>12</v>
      </c>
      <c r="C4" s="20">
        <f>(28*(3/4))</f>
        <v>21</v>
      </c>
      <c r="D4" s="21">
        <v>2.0</v>
      </c>
      <c r="E4" s="22">
        <f t="shared" ref="E4:E5" si="1">C4*D4</f>
        <v>42</v>
      </c>
      <c r="F4" s="6"/>
      <c r="G4" s="23" t="s">
        <v>13</v>
      </c>
      <c r="H4" s="24"/>
    </row>
    <row r="5" ht="14.25" customHeight="1">
      <c r="A5" s="20" t="s">
        <v>14</v>
      </c>
      <c r="B5" s="25" t="s">
        <v>15</v>
      </c>
      <c r="C5" s="20">
        <f>(57/(3/4))</f>
        <v>76</v>
      </c>
      <c r="D5" s="26">
        <v>4.0</v>
      </c>
      <c r="E5" s="22">
        <f t="shared" si="1"/>
        <v>304</v>
      </c>
      <c r="F5" s="6"/>
      <c r="G5" s="23" t="s">
        <v>16</v>
      </c>
      <c r="H5" s="24"/>
    </row>
    <row r="6" ht="14.25" customHeight="1">
      <c r="A6" s="27" t="s">
        <v>17</v>
      </c>
      <c r="B6" s="19"/>
      <c r="C6" s="18"/>
      <c r="D6" s="21"/>
      <c r="E6" s="28">
        <f>SUM(E4:E5)</f>
        <v>346</v>
      </c>
      <c r="F6" s="6"/>
      <c r="G6" s="23"/>
      <c r="H6" s="24"/>
    </row>
    <row r="7" ht="14.25" customHeight="1">
      <c r="A7" s="27"/>
      <c r="B7" s="19"/>
      <c r="C7" s="18"/>
      <c r="D7" s="21"/>
      <c r="E7" s="29"/>
      <c r="F7" s="6"/>
      <c r="G7" s="23"/>
      <c r="H7" s="24"/>
    </row>
    <row r="8" ht="14.25" customHeight="1">
      <c r="A8" s="30" t="s">
        <v>18</v>
      </c>
      <c r="B8" s="19"/>
      <c r="C8" s="18"/>
      <c r="D8" s="21"/>
      <c r="E8" s="28"/>
      <c r="F8" s="6"/>
      <c r="G8" s="7"/>
      <c r="H8" s="6"/>
    </row>
    <row r="9" ht="14.25" customHeight="1">
      <c r="A9" s="31" t="s">
        <v>19</v>
      </c>
      <c r="B9" s="32" t="s">
        <v>20</v>
      </c>
      <c r="C9" s="33"/>
      <c r="D9" s="34"/>
      <c r="E9" s="22">
        <v>10.0</v>
      </c>
      <c r="F9" s="6"/>
      <c r="G9" s="23" t="s">
        <v>21</v>
      </c>
      <c r="H9" s="6"/>
    </row>
    <row r="10">
      <c r="A10" s="35" t="s">
        <v>22</v>
      </c>
      <c r="B10" s="36" t="s">
        <v>23</v>
      </c>
      <c r="C10" s="37">
        <v>2.5</v>
      </c>
      <c r="D10" s="38">
        <v>23.0</v>
      </c>
      <c r="E10" s="39">
        <f t="shared" ref="E10:E13" si="2">C10*D10</f>
        <v>57.5</v>
      </c>
      <c r="F10" s="6"/>
      <c r="G10" s="23" t="s">
        <v>24</v>
      </c>
      <c r="H10" s="40"/>
    </row>
    <row r="11">
      <c r="A11" s="33" t="s">
        <v>25</v>
      </c>
      <c r="B11" s="32" t="s">
        <v>26</v>
      </c>
      <c r="C11" s="33">
        <f>3/50</f>
        <v>0.06</v>
      </c>
      <c r="D11" s="34">
        <v>40.0</v>
      </c>
      <c r="E11" s="39">
        <f t="shared" si="2"/>
        <v>2.4</v>
      </c>
      <c r="F11" s="6"/>
      <c r="G11" s="41" t="s">
        <v>27</v>
      </c>
      <c r="H11" s="6"/>
    </row>
    <row r="12">
      <c r="A12" s="33" t="s">
        <v>28</v>
      </c>
      <c r="B12" s="32" t="s">
        <v>26</v>
      </c>
      <c r="C12" s="33">
        <f>2/50</f>
        <v>0.04</v>
      </c>
      <c r="D12" s="34">
        <v>40.0</v>
      </c>
      <c r="E12" s="39">
        <f t="shared" si="2"/>
        <v>1.6</v>
      </c>
      <c r="F12" s="6"/>
      <c r="G12" s="7"/>
      <c r="H12" s="6"/>
    </row>
    <row r="13">
      <c r="A13" s="33" t="s">
        <v>29</v>
      </c>
      <c r="B13" s="32" t="s">
        <v>30</v>
      </c>
      <c r="C13" s="33">
        <f>100/1000</f>
        <v>0.1</v>
      </c>
      <c r="D13" s="34">
        <f>107+30</f>
        <v>137</v>
      </c>
      <c r="E13" s="22">
        <f t="shared" si="2"/>
        <v>13.7</v>
      </c>
      <c r="F13" s="6"/>
      <c r="G13" s="23" t="s">
        <v>31</v>
      </c>
      <c r="H13" s="6"/>
    </row>
    <row r="14">
      <c r="A14" s="33" t="s">
        <v>32</v>
      </c>
      <c r="B14" s="32" t="s">
        <v>33</v>
      </c>
      <c r="C14" s="33">
        <v>0.5</v>
      </c>
      <c r="D14" s="34">
        <v>260.0</v>
      </c>
      <c r="E14" s="22">
        <f>C14*D14+30</f>
        <v>160</v>
      </c>
      <c r="F14" s="6"/>
      <c r="G14" s="23" t="s">
        <v>34</v>
      </c>
      <c r="H14" s="6"/>
    </row>
    <row r="15">
      <c r="A15" s="33" t="s">
        <v>35</v>
      </c>
      <c r="B15" s="32" t="s">
        <v>36</v>
      </c>
      <c r="C15" s="33">
        <f>C5/500</f>
        <v>0.152</v>
      </c>
      <c r="D15" s="34">
        <v>70.0</v>
      </c>
      <c r="E15" s="22">
        <f>C15*D15</f>
        <v>10.64</v>
      </c>
      <c r="F15" s="6"/>
      <c r="G15" s="23" t="s">
        <v>37</v>
      </c>
      <c r="H15" s="6"/>
    </row>
    <row r="16" ht="14.25" customHeight="1">
      <c r="A16" s="33" t="s">
        <v>38</v>
      </c>
      <c r="B16" s="42"/>
      <c r="C16" s="33"/>
      <c r="D16" s="34">
        <v>0.0</v>
      </c>
      <c r="E16" s="22">
        <f>B16*C16*D16</f>
        <v>0</v>
      </c>
      <c r="F16" s="6"/>
      <c r="G16" s="23" t="s">
        <v>39</v>
      </c>
      <c r="H16" s="24"/>
    </row>
    <row r="17" ht="14.25" customHeight="1">
      <c r="A17" s="43"/>
      <c r="B17" s="44"/>
      <c r="C17" s="45"/>
      <c r="D17" s="46"/>
      <c r="E17" s="47"/>
      <c r="F17" s="6"/>
      <c r="G17" s="23"/>
      <c r="H17" s="24"/>
    </row>
    <row r="18" ht="14.25" customHeight="1">
      <c r="A18" s="48" t="s">
        <v>40</v>
      </c>
      <c r="B18" s="49"/>
      <c r="C18" s="50"/>
      <c r="D18" s="51"/>
      <c r="E18" s="52">
        <f>SUM(E8:E16)</f>
        <v>255.84</v>
      </c>
      <c r="F18" s="6"/>
      <c r="G18" s="7"/>
      <c r="H18" s="6"/>
    </row>
    <row r="19" ht="14.25" customHeight="1">
      <c r="A19" s="53" t="s">
        <v>41</v>
      </c>
      <c r="B19" s="54"/>
      <c r="C19" s="55"/>
      <c r="D19" s="56"/>
      <c r="E19" s="57"/>
      <c r="F19" s="6"/>
      <c r="G19" s="7"/>
      <c r="H19" s="6"/>
    </row>
    <row r="20" ht="14.25" customHeight="1">
      <c r="A20" s="33" t="s">
        <v>42</v>
      </c>
      <c r="B20" s="32" t="s">
        <v>43</v>
      </c>
      <c r="C20" s="58">
        <f>(1/12)/3</f>
        <v>0.02777777778</v>
      </c>
      <c r="D20" s="34">
        <v>45.0</v>
      </c>
      <c r="E20" s="22">
        <f>C20*D20</f>
        <v>1.25</v>
      </c>
      <c r="F20" s="6"/>
      <c r="G20" s="7" t="s">
        <v>44</v>
      </c>
      <c r="H20" s="6"/>
    </row>
    <row r="21" ht="14.25" customHeight="1">
      <c r="A21" s="33" t="s">
        <v>45</v>
      </c>
      <c r="B21" s="32"/>
      <c r="C21" s="59"/>
      <c r="D21" s="34"/>
      <c r="E21" s="22"/>
      <c r="F21" s="6"/>
      <c r="G21" s="23" t="s">
        <v>46</v>
      </c>
      <c r="H21" s="6"/>
    </row>
    <row r="22" ht="14.25" customHeight="1">
      <c r="A22" s="60" t="s">
        <v>47</v>
      </c>
      <c r="B22" s="32" t="s">
        <v>48</v>
      </c>
      <c r="C22" s="61">
        <v>1.0</v>
      </c>
      <c r="D22" s="34">
        <v>25.0</v>
      </c>
      <c r="E22" s="22">
        <f t="shared" ref="E22:E34" si="3">D22*C22</f>
        <v>25</v>
      </c>
      <c r="F22" s="6"/>
      <c r="G22" s="23" t="s">
        <v>49</v>
      </c>
      <c r="H22" s="24"/>
    </row>
    <row r="23" ht="14.25" customHeight="1">
      <c r="A23" s="33" t="s">
        <v>50</v>
      </c>
      <c r="B23" s="32" t="s">
        <v>48</v>
      </c>
      <c r="C23" s="59">
        <v>1.0</v>
      </c>
      <c r="D23" s="34">
        <v>12.5</v>
      </c>
      <c r="E23" s="22">
        <f t="shared" si="3"/>
        <v>12.5</v>
      </c>
      <c r="F23" s="6"/>
      <c r="G23" s="23"/>
      <c r="H23" s="6"/>
    </row>
    <row r="24" ht="14.25" customHeight="1">
      <c r="A24" s="33" t="s">
        <v>51</v>
      </c>
      <c r="B24" s="32" t="s">
        <v>48</v>
      </c>
      <c r="C24" s="61">
        <v>0.25</v>
      </c>
      <c r="D24" s="34">
        <v>25.0</v>
      </c>
      <c r="E24" s="22">
        <f t="shared" si="3"/>
        <v>6.25</v>
      </c>
      <c r="F24" s="6"/>
      <c r="G24" s="23" t="s">
        <v>52</v>
      </c>
      <c r="H24" s="6"/>
    </row>
    <row r="25" ht="14.25" customHeight="1">
      <c r="A25" s="33" t="s">
        <v>53</v>
      </c>
      <c r="B25" s="32" t="s">
        <v>48</v>
      </c>
      <c r="C25" s="61">
        <v>0.5</v>
      </c>
      <c r="D25" s="34">
        <v>12.5</v>
      </c>
      <c r="E25" s="22">
        <f t="shared" si="3"/>
        <v>6.25</v>
      </c>
      <c r="F25" s="6"/>
      <c r="G25" s="23" t="s">
        <v>54</v>
      </c>
      <c r="H25" s="24"/>
    </row>
    <row r="26" ht="14.25" customHeight="1">
      <c r="A26" s="33" t="s">
        <v>55</v>
      </c>
      <c r="B26" s="32" t="s">
        <v>48</v>
      </c>
      <c r="C26" s="59">
        <f>(2*(1/12))*13</f>
        <v>2.166666667</v>
      </c>
      <c r="D26" s="34">
        <v>25.0</v>
      </c>
      <c r="E26" s="22">
        <f t="shared" si="3"/>
        <v>54.16666667</v>
      </c>
      <c r="F26" s="6"/>
      <c r="G26" s="23" t="s">
        <v>56</v>
      </c>
      <c r="H26" s="24"/>
    </row>
    <row r="27" ht="14.25" customHeight="1">
      <c r="A27" s="33" t="s">
        <v>57</v>
      </c>
      <c r="B27" s="32" t="s">
        <v>48</v>
      </c>
      <c r="C27" s="59">
        <v>1.0</v>
      </c>
      <c r="D27" s="34">
        <v>12.5</v>
      </c>
      <c r="E27" s="22">
        <f t="shared" si="3"/>
        <v>12.5</v>
      </c>
      <c r="F27" s="6"/>
      <c r="G27" s="23" t="s">
        <v>58</v>
      </c>
      <c r="H27" s="6"/>
    </row>
    <row r="28" ht="14.25" customHeight="1">
      <c r="A28" s="18" t="s">
        <v>59</v>
      </c>
      <c r="B28" s="32" t="s">
        <v>48</v>
      </c>
      <c r="C28" s="59">
        <v>1.0</v>
      </c>
      <c r="D28" s="34">
        <v>25.0</v>
      </c>
      <c r="E28" s="22">
        <f t="shared" si="3"/>
        <v>25</v>
      </c>
      <c r="F28" s="6"/>
      <c r="G28" s="23" t="s">
        <v>60</v>
      </c>
      <c r="H28" s="6"/>
    </row>
    <row r="29" ht="14.25" customHeight="1">
      <c r="A29" s="18" t="s">
        <v>61</v>
      </c>
      <c r="B29" s="32" t="s">
        <v>48</v>
      </c>
      <c r="C29" s="59">
        <f>20*2</f>
        <v>40</v>
      </c>
      <c r="D29" s="34">
        <v>15.0</v>
      </c>
      <c r="E29" s="22">
        <f t="shared" si="3"/>
        <v>600</v>
      </c>
      <c r="F29" s="6"/>
      <c r="G29" s="23" t="s">
        <v>62</v>
      </c>
      <c r="H29" s="6"/>
    </row>
    <row r="30" ht="14.25" customHeight="1">
      <c r="A30" s="18" t="s">
        <v>63</v>
      </c>
      <c r="B30" s="32" t="s">
        <v>64</v>
      </c>
      <c r="C30" s="58">
        <f>1/12</f>
        <v>0.08333333333</v>
      </c>
      <c r="D30" s="34">
        <v>83.0</v>
      </c>
      <c r="E30" s="22">
        <f t="shared" si="3"/>
        <v>6.916666667</v>
      </c>
      <c r="F30" s="6"/>
      <c r="G30" s="23"/>
      <c r="H30" s="6"/>
    </row>
    <row r="31" ht="14.25" customHeight="1">
      <c r="A31" s="18" t="s">
        <v>65</v>
      </c>
      <c r="B31" s="32" t="s">
        <v>48</v>
      </c>
      <c r="C31" s="58">
        <f>((13)*7)*(1/20)</f>
        <v>4.55</v>
      </c>
      <c r="D31" s="34">
        <v>15.0</v>
      </c>
      <c r="E31" s="22">
        <f t="shared" si="3"/>
        <v>68.25</v>
      </c>
      <c r="F31" s="6"/>
      <c r="G31" s="23" t="s">
        <v>66</v>
      </c>
      <c r="H31" s="24"/>
    </row>
    <row r="32" ht="14.25" customHeight="1">
      <c r="A32" s="18" t="s">
        <v>67</v>
      </c>
      <c r="B32" s="32" t="s">
        <v>68</v>
      </c>
      <c r="C32" s="59">
        <f>(18*24)/20</f>
        <v>21.6</v>
      </c>
      <c r="D32" s="34">
        <v>0.65</v>
      </c>
      <c r="E32" s="22">
        <f t="shared" si="3"/>
        <v>14.04</v>
      </c>
      <c r="F32" s="6"/>
      <c r="G32" s="23" t="s">
        <v>69</v>
      </c>
      <c r="H32" s="6"/>
    </row>
    <row r="33" ht="14.25" customHeight="1">
      <c r="A33" s="33" t="s">
        <v>70</v>
      </c>
      <c r="B33" s="32" t="s">
        <v>71</v>
      </c>
      <c r="C33" s="58">
        <f>1/20</f>
        <v>0.05</v>
      </c>
      <c r="D33" s="34">
        <v>280.0</v>
      </c>
      <c r="E33" s="22">
        <f t="shared" si="3"/>
        <v>14</v>
      </c>
      <c r="F33" s="6"/>
      <c r="G33" s="7"/>
      <c r="H33" s="6"/>
    </row>
    <row r="34" ht="14.25" customHeight="1">
      <c r="A34" s="33" t="s">
        <v>72</v>
      </c>
      <c r="B34" s="32" t="s">
        <v>73</v>
      </c>
      <c r="C34" s="58"/>
      <c r="D34" s="34"/>
      <c r="E34" s="22">
        <f t="shared" si="3"/>
        <v>0</v>
      </c>
      <c r="F34" s="6"/>
      <c r="G34" s="23" t="s">
        <v>74</v>
      </c>
      <c r="H34" s="6"/>
    </row>
    <row r="35" ht="14.25" customHeight="1">
      <c r="A35" s="62" t="s">
        <v>75</v>
      </c>
      <c r="B35" s="50"/>
      <c r="C35" s="50"/>
      <c r="D35" s="63"/>
      <c r="E35" s="52">
        <f>SUM(E22:E34)</f>
        <v>844.8733333</v>
      </c>
      <c r="F35" s="6"/>
      <c r="G35" s="7"/>
      <c r="H35" s="6"/>
    </row>
    <row r="36" ht="14.25" customHeight="1">
      <c r="A36" s="64" t="s">
        <v>76</v>
      </c>
      <c r="B36" s="16"/>
      <c r="C36" s="16"/>
      <c r="D36" s="65"/>
      <c r="E36" s="22">
        <f>E18+E35</f>
        <v>1100.713333</v>
      </c>
      <c r="F36" s="6"/>
      <c r="G36" s="23"/>
      <c r="H36" s="6"/>
    </row>
    <row r="37" ht="14.25" customHeight="1">
      <c r="A37" s="66"/>
      <c r="B37" s="18"/>
      <c r="C37" s="18"/>
      <c r="D37" s="67"/>
      <c r="E37" s="22"/>
      <c r="F37" s="6"/>
      <c r="G37" s="23"/>
      <c r="H37" s="6"/>
    </row>
    <row r="38" ht="14.25" customHeight="1">
      <c r="A38" s="62" t="s">
        <v>77</v>
      </c>
      <c r="B38" s="50"/>
      <c r="C38" s="50"/>
      <c r="D38" s="63"/>
      <c r="E38" s="22">
        <f>E6-E18-E35</f>
        <v>-754.7133333</v>
      </c>
      <c r="F38" s="6"/>
      <c r="G38" s="7"/>
      <c r="H38" s="6"/>
    </row>
    <row r="39" ht="14.25" customHeight="1">
      <c r="A39" s="68"/>
      <c r="B39" s="69"/>
      <c r="C39" s="69"/>
      <c r="D39" s="70" t="s">
        <v>78</v>
      </c>
      <c r="E39" s="71"/>
      <c r="F39" s="6"/>
      <c r="G39" s="7"/>
      <c r="H39" s="6"/>
    </row>
    <row r="40" ht="14.25" customHeight="1">
      <c r="A40" s="66" t="s">
        <v>79</v>
      </c>
      <c r="B40" s="72" t="s">
        <v>80</v>
      </c>
      <c r="C40" s="73">
        <v>2.0</v>
      </c>
      <c r="D40" s="73">
        <v>5.33</v>
      </c>
      <c r="E40" s="74">
        <f>D40*1.5</f>
        <v>7.995</v>
      </c>
      <c r="F40" s="6"/>
      <c r="G40" s="7"/>
      <c r="H40" s="6"/>
    </row>
    <row r="41" ht="14.25" customHeight="1">
      <c r="A41" s="66" t="s">
        <v>81</v>
      </c>
      <c r="B41" s="75">
        <v>75.0</v>
      </c>
      <c r="C41" s="76">
        <f t="shared" ref="C41:E41" si="4">C$40*$B41-$E$36</f>
        <v>-950.7133333</v>
      </c>
      <c r="D41" s="76">
        <f t="shared" si="4"/>
        <v>-700.9633333</v>
      </c>
      <c r="E41" s="76">
        <f t="shared" si="4"/>
        <v>-501.0883333</v>
      </c>
      <c r="F41" s="6"/>
      <c r="G41" s="7"/>
      <c r="H41" s="6"/>
    </row>
    <row r="42" ht="14.25" customHeight="1">
      <c r="A42" s="66" t="s">
        <v>82</v>
      </c>
      <c r="B42" s="75">
        <v>100.0</v>
      </c>
      <c r="C42" s="76">
        <f t="shared" ref="C42:E42" si="5">C$40*$B42-$E$36</f>
        <v>-900.7133333</v>
      </c>
      <c r="D42" s="76">
        <f t="shared" si="5"/>
        <v>-567.7133333</v>
      </c>
      <c r="E42" s="76">
        <f t="shared" si="5"/>
        <v>-301.2133333</v>
      </c>
      <c r="F42" s="6"/>
      <c r="G42" s="23"/>
      <c r="H42" s="6"/>
    </row>
    <row r="43" ht="14.25" customHeight="1">
      <c r="A43" s="77"/>
      <c r="B43" s="78">
        <v>125.0</v>
      </c>
      <c r="C43" s="79">
        <f t="shared" ref="C43:E43" si="6">C$40*$B43-$E$36</f>
        <v>-850.7133333</v>
      </c>
      <c r="D43" s="79">
        <f t="shared" si="6"/>
        <v>-434.4633333</v>
      </c>
      <c r="E43" s="79">
        <f t="shared" si="6"/>
        <v>-101.3383333</v>
      </c>
      <c r="F43" s="6"/>
      <c r="G43" s="23" t="s">
        <v>83</v>
      </c>
      <c r="H43" s="6"/>
    </row>
    <row r="44" ht="14.25" customHeight="1">
      <c r="A44" s="6"/>
      <c r="B44" s="6"/>
      <c r="C44" s="6"/>
      <c r="D44" s="6"/>
      <c r="E44" s="6"/>
      <c r="F44" s="6"/>
      <c r="G44" s="7"/>
      <c r="H44" s="6"/>
    </row>
    <row r="45" ht="14.25" customHeight="1">
      <c r="A45" s="6"/>
      <c r="B45" s="6"/>
      <c r="C45" s="6"/>
      <c r="D45" s="6"/>
      <c r="E45" s="6"/>
      <c r="F45" s="6"/>
      <c r="G45" s="7"/>
      <c r="H45" s="6"/>
    </row>
    <row r="46" ht="14.25" customHeight="1">
      <c r="A46" s="13" t="s">
        <v>84</v>
      </c>
      <c r="B46" s="6"/>
      <c r="C46" s="6"/>
      <c r="D46" s="6"/>
      <c r="E46" s="6"/>
      <c r="F46" s="6"/>
      <c r="G46" s="7"/>
      <c r="H46" s="6"/>
    </row>
    <row r="47" ht="14.25" customHeight="1">
      <c r="A47" s="6" t="s">
        <v>85</v>
      </c>
      <c r="B47" s="6"/>
      <c r="C47" s="6"/>
      <c r="D47" s="6"/>
      <c r="E47" s="6"/>
      <c r="F47" s="6"/>
      <c r="G47" s="7"/>
      <c r="H47" s="6"/>
    </row>
    <row r="48" ht="14.25" customHeight="1">
      <c r="A48" s="6" t="s">
        <v>86</v>
      </c>
      <c r="B48" s="6"/>
      <c r="C48" s="6"/>
      <c r="D48" s="6"/>
      <c r="E48" s="6"/>
      <c r="F48" s="6"/>
      <c r="G48" s="7"/>
      <c r="H48" s="6"/>
    </row>
    <row r="49" ht="14.25" customHeight="1">
      <c r="A49" s="6"/>
      <c r="B49" s="6"/>
      <c r="C49" s="6"/>
      <c r="D49" s="6"/>
      <c r="E49" s="6"/>
      <c r="F49" s="6"/>
      <c r="G49" s="7"/>
      <c r="H49" s="6"/>
    </row>
    <row r="50" ht="14.25" customHeight="1">
      <c r="A50" s="6"/>
      <c r="B50" s="6"/>
      <c r="C50" s="6"/>
      <c r="D50" s="6"/>
      <c r="E50" s="6"/>
      <c r="F50" s="6"/>
      <c r="G50" s="7"/>
      <c r="H50" s="6"/>
    </row>
    <row r="51" ht="14.25" customHeight="1">
      <c r="A51" s="13" t="s">
        <v>87</v>
      </c>
      <c r="B51" s="6"/>
      <c r="C51" s="6"/>
      <c r="D51" s="6"/>
      <c r="E51" s="6"/>
      <c r="F51" s="6"/>
      <c r="G51" s="7"/>
      <c r="H51" s="6"/>
    </row>
    <row r="52" ht="14.25" customHeight="1">
      <c r="A52" s="24" t="s">
        <v>83</v>
      </c>
      <c r="B52" s="6"/>
      <c r="C52" s="6"/>
      <c r="D52" s="6"/>
      <c r="E52" s="6"/>
      <c r="F52" s="6"/>
      <c r="G52" s="7"/>
      <c r="H52" s="6"/>
    </row>
    <row r="53" ht="14.25" customHeight="1">
      <c r="A53" s="24" t="s">
        <v>88</v>
      </c>
      <c r="B53" s="6"/>
      <c r="C53" s="6"/>
      <c r="D53" s="6"/>
      <c r="E53" s="6"/>
      <c r="F53" s="6"/>
      <c r="G53" s="7"/>
      <c r="H53" s="6"/>
    </row>
    <row r="54" ht="14.25" customHeight="1">
      <c r="A54" s="24" t="s">
        <v>89</v>
      </c>
      <c r="B54" s="6"/>
      <c r="C54" s="6"/>
      <c r="D54" s="6"/>
      <c r="E54" s="6"/>
      <c r="F54" s="6"/>
      <c r="G54" s="7"/>
      <c r="H54" s="6"/>
    </row>
    <row r="55" ht="14.25" customHeight="1">
      <c r="A55" s="6"/>
      <c r="B55" s="6"/>
      <c r="C55" s="6"/>
      <c r="D55" s="6"/>
      <c r="E55" s="6"/>
      <c r="F55" s="6"/>
      <c r="G55" s="7"/>
      <c r="H55" s="6"/>
    </row>
    <row r="56" ht="14.25" customHeight="1">
      <c r="A56" s="6"/>
      <c r="B56" s="6"/>
      <c r="C56" s="6"/>
      <c r="D56" s="6"/>
      <c r="E56" s="6"/>
      <c r="F56" s="6"/>
      <c r="G56" s="7"/>
      <c r="H56" s="6"/>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29"/>
    <col customWidth="1" min="2" max="2" width="10.71"/>
    <col customWidth="1" min="3" max="4" width="10.43"/>
    <col customWidth="1" min="5" max="5" width="11.14"/>
    <col customWidth="1" min="6" max="6" width="8.71"/>
    <col customWidth="1" min="7" max="7" width="92.86"/>
    <col customWidth="1" min="8" max="8" width="8.71"/>
  </cols>
  <sheetData>
    <row r="1" ht="14.25" customHeight="1">
      <c r="A1" s="80" t="s">
        <v>90</v>
      </c>
      <c r="B1" s="3"/>
      <c r="C1" s="4" t="s">
        <v>3</v>
      </c>
      <c r="D1" s="5"/>
      <c r="E1" s="3"/>
      <c r="F1" s="6"/>
      <c r="G1" s="7"/>
      <c r="H1" s="6"/>
    </row>
    <row r="2" ht="14.25" customHeight="1">
      <c r="A2" s="81" t="s">
        <v>4</v>
      </c>
      <c r="B2" s="9" t="s">
        <v>5</v>
      </c>
      <c r="C2" s="10" t="s">
        <v>6</v>
      </c>
      <c r="D2" s="10" t="s">
        <v>7</v>
      </c>
      <c r="E2" s="11" t="s">
        <v>8</v>
      </c>
      <c r="F2" s="6"/>
      <c r="G2" s="12" t="s">
        <v>9</v>
      </c>
      <c r="H2" s="13"/>
    </row>
    <row r="3" ht="14.25" customHeight="1">
      <c r="A3" s="82" t="s">
        <v>10</v>
      </c>
      <c r="B3" s="15"/>
      <c r="C3" s="16"/>
      <c r="D3" s="16"/>
      <c r="E3" s="17"/>
      <c r="F3" s="6"/>
      <c r="G3" s="7"/>
      <c r="H3" s="6"/>
    </row>
    <row r="4" ht="14.25" customHeight="1">
      <c r="A4" s="19" t="s">
        <v>91</v>
      </c>
      <c r="B4" s="19" t="s">
        <v>12</v>
      </c>
      <c r="C4" s="20">
        <f>99/3</f>
        <v>33</v>
      </c>
      <c r="D4" s="21">
        <v>2.0</v>
      </c>
      <c r="E4" s="22">
        <f t="shared" ref="E4:E5" si="1">C4*D4</f>
        <v>66</v>
      </c>
      <c r="F4" s="6"/>
      <c r="G4" s="23" t="s">
        <v>92</v>
      </c>
      <c r="H4" s="24"/>
    </row>
    <row r="5" ht="14.25" customHeight="1">
      <c r="A5" s="25" t="s">
        <v>93</v>
      </c>
      <c r="B5" s="19" t="s">
        <v>94</v>
      </c>
      <c r="C5" s="20">
        <f>((99*(2/3))/(1/4))</f>
        <v>264</v>
      </c>
      <c r="D5" s="26">
        <v>4.0</v>
      </c>
      <c r="E5" s="22">
        <f t="shared" si="1"/>
        <v>1056</v>
      </c>
      <c r="F5" s="6"/>
      <c r="G5" s="23" t="s">
        <v>95</v>
      </c>
      <c r="H5" s="24"/>
    </row>
    <row r="6" ht="14.25" customHeight="1">
      <c r="A6" s="83" t="s">
        <v>17</v>
      </c>
      <c r="B6" s="19"/>
      <c r="C6" s="18"/>
      <c r="D6" s="21"/>
      <c r="E6" s="28">
        <f>SUM(E4:E5)</f>
        <v>1122</v>
      </c>
      <c r="F6" s="6"/>
      <c r="G6" s="23"/>
      <c r="H6" s="24"/>
    </row>
    <row r="7" ht="14.25" customHeight="1">
      <c r="A7" s="83"/>
      <c r="B7" s="19"/>
      <c r="C7" s="18"/>
      <c r="D7" s="21"/>
      <c r="E7" s="29"/>
      <c r="F7" s="6"/>
      <c r="G7" s="23"/>
      <c r="H7" s="24"/>
    </row>
    <row r="8" ht="14.25" customHeight="1">
      <c r="A8" s="84" t="s">
        <v>18</v>
      </c>
      <c r="B8" s="19"/>
      <c r="C8" s="18"/>
      <c r="D8" s="21"/>
      <c r="E8" s="28"/>
      <c r="F8" s="6"/>
      <c r="G8" s="7"/>
      <c r="H8" s="6"/>
    </row>
    <row r="9" ht="14.25" customHeight="1">
      <c r="A9" s="85" t="s">
        <v>19</v>
      </c>
      <c r="B9" s="32" t="s">
        <v>20</v>
      </c>
      <c r="C9" s="33"/>
      <c r="D9" s="34"/>
      <c r="E9" s="22">
        <v>10.0</v>
      </c>
      <c r="F9" s="6"/>
      <c r="G9" s="23" t="s">
        <v>96</v>
      </c>
      <c r="H9" s="6"/>
    </row>
    <row r="10" ht="14.25" customHeight="1">
      <c r="A10" s="86" t="s">
        <v>22</v>
      </c>
      <c r="B10" s="36" t="s">
        <v>23</v>
      </c>
      <c r="C10" s="37">
        <v>2.0</v>
      </c>
      <c r="D10" s="38">
        <v>30.0</v>
      </c>
      <c r="E10" s="39">
        <f t="shared" ref="E10:E13" si="2">C10*D10</f>
        <v>60</v>
      </c>
      <c r="F10" s="6"/>
      <c r="G10" s="23" t="s">
        <v>24</v>
      </c>
      <c r="H10" s="40"/>
    </row>
    <row r="11" ht="14.25" customHeight="1">
      <c r="A11" s="32" t="s">
        <v>25</v>
      </c>
      <c r="B11" s="32" t="s">
        <v>26</v>
      </c>
      <c r="C11" s="33">
        <f>3/50</f>
        <v>0.06</v>
      </c>
      <c r="D11" s="34">
        <v>40.0</v>
      </c>
      <c r="E11" s="39">
        <f t="shared" si="2"/>
        <v>2.4</v>
      </c>
      <c r="F11" s="6"/>
      <c r="G11" s="41" t="s">
        <v>27</v>
      </c>
      <c r="H11" s="6"/>
    </row>
    <row r="12" ht="14.25" customHeight="1">
      <c r="A12" s="32" t="s">
        <v>28</v>
      </c>
      <c r="B12" s="32" t="s">
        <v>26</v>
      </c>
      <c r="C12" s="33">
        <f>2/50</f>
        <v>0.04</v>
      </c>
      <c r="D12" s="34">
        <v>40.0</v>
      </c>
      <c r="E12" s="39">
        <f t="shared" si="2"/>
        <v>1.6</v>
      </c>
      <c r="F12" s="6"/>
      <c r="G12" s="7"/>
      <c r="H12" s="6"/>
    </row>
    <row r="13" ht="14.25" customHeight="1">
      <c r="A13" s="32" t="s">
        <v>29</v>
      </c>
      <c r="B13" s="32" t="s">
        <v>30</v>
      </c>
      <c r="C13" s="33">
        <f>100/1000</f>
        <v>0.1</v>
      </c>
      <c r="D13" s="34">
        <f>107+30</f>
        <v>137</v>
      </c>
      <c r="E13" s="22">
        <f t="shared" si="2"/>
        <v>13.7</v>
      </c>
      <c r="F13" s="6"/>
      <c r="G13" s="23" t="s">
        <v>31</v>
      </c>
      <c r="H13" s="6"/>
    </row>
    <row r="14" ht="14.25" customHeight="1">
      <c r="A14" s="32" t="s">
        <v>32</v>
      </c>
      <c r="B14" s="32" t="s">
        <v>33</v>
      </c>
      <c r="C14" s="33">
        <v>0.5</v>
      </c>
      <c r="D14" s="34">
        <v>260.0</v>
      </c>
      <c r="E14" s="22">
        <f>C14*D14+30</f>
        <v>160</v>
      </c>
      <c r="F14" s="6"/>
      <c r="G14" s="23" t="s">
        <v>34</v>
      </c>
      <c r="H14" s="6"/>
    </row>
    <row r="15" ht="14.25" customHeight="1">
      <c r="A15" s="32" t="s">
        <v>97</v>
      </c>
      <c r="B15" s="32" t="s">
        <v>36</v>
      </c>
      <c r="C15" s="33">
        <f>C5/500</f>
        <v>0.528</v>
      </c>
      <c r="D15" s="34">
        <v>70.0</v>
      </c>
      <c r="E15" s="22">
        <f>C15*D15</f>
        <v>36.96</v>
      </c>
      <c r="F15" s="6"/>
      <c r="G15" s="23" t="s">
        <v>37</v>
      </c>
      <c r="H15" s="6"/>
    </row>
    <row r="16" ht="14.25" customHeight="1">
      <c r="A16" s="32" t="s">
        <v>38</v>
      </c>
      <c r="B16" s="42"/>
      <c r="C16" s="33"/>
      <c r="D16" s="34">
        <v>0.0</v>
      </c>
      <c r="E16" s="22">
        <f>B16*C16*D16</f>
        <v>0</v>
      </c>
      <c r="F16" s="6"/>
      <c r="G16" s="23" t="s">
        <v>39</v>
      </c>
      <c r="H16" s="24"/>
    </row>
    <row r="17" ht="14.25" customHeight="1">
      <c r="A17" s="87"/>
      <c r="B17" s="44"/>
      <c r="C17" s="45"/>
      <c r="D17" s="46"/>
      <c r="E17" s="47"/>
      <c r="F17" s="6"/>
      <c r="G17" s="23"/>
      <c r="H17" s="24"/>
    </row>
    <row r="18" ht="14.25" customHeight="1">
      <c r="A18" s="88" t="s">
        <v>40</v>
      </c>
      <c r="B18" s="49"/>
      <c r="C18" s="50"/>
      <c r="D18" s="51"/>
      <c r="E18" s="52">
        <f>SUM(E8:E16)</f>
        <v>284.66</v>
      </c>
      <c r="F18" s="6"/>
      <c r="G18" s="7"/>
      <c r="H18" s="6"/>
    </row>
    <row r="19" ht="14.25" customHeight="1">
      <c r="A19" s="89" t="s">
        <v>41</v>
      </c>
      <c r="B19" s="54"/>
      <c r="C19" s="55"/>
      <c r="D19" s="56"/>
      <c r="E19" s="57"/>
      <c r="F19" s="6"/>
      <c r="G19" s="7"/>
      <c r="H19" s="6"/>
    </row>
    <row r="20" ht="14.25" customHeight="1">
      <c r="A20" s="32" t="s">
        <v>42</v>
      </c>
      <c r="B20" s="32" t="s">
        <v>43</v>
      </c>
      <c r="C20" s="58">
        <f>(1/12)/3</f>
        <v>0.02777777778</v>
      </c>
      <c r="D20" s="34">
        <v>45.0</v>
      </c>
      <c r="E20" s="22">
        <f>C20*D20</f>
        <v>1.25</v>
      </c>
      <c r="F20" s="6"/>
      <c r="G20" s="7" t="s">
        <v>44</v>
      </c>
      <c r="H20" s="6"/>
    </row>
    <row r="21" ht="14.25" customHeight="1">
      <c r="A21" s="32" t="s">
        <v>45</v>
      </c>
      <c r="B21" s="32"/>
      <c r="C21" s="59"/>
      <c r="D21" s="34"/>
      <c r="E21" s="22"/>
      <c r="F21" s="6"/>
      <c r="G21" s="23" t="s">
        <v>46</v>
      </c>
      <c r="H21" s="6"/>
    </row>
    <row r="22" ht="14.25" customHeight="1">
      <c r="A22" s="90" t="s">
        <v>47</v>
      </c>
      <c r="B22" s="32" t="s">
        <v>48</v>
      </c>
      <c r="C22" s="61">
        <v>1.0</v>
      </c>
      <c r="D22" s="34">
        <v>25.0</v>
      </c>
      <c r="E22" s="22">
        <f t="shared" ref="E22:E34" si="3">D22*C22</f>
        <v>25</v>
      </c>
      <c r="F22" s="6"/>
      <c r="G22" s="23" t="s">
        <v>49</v>
      </c>
      <c r="H22" s="24"/>
    </row>
    <row r="23" ht="14.25" customHeight="1">
      <c r="A23" s="32" t="s">
        <v>50</v>
      </c>
      <c r="B23" s="32" t="s">
        <v>48</v>
      </c>
      <c r="C23" s="59">
        <v>1.0</v>
      </c>
      <c r="D23" s="34">
        <v>12.5</v>
      </c>
      <c r="E23" s="22">
        <f t="shared" si="3"/>
        <v>12.5</v>
      </c>
      <c r="F23" s="6"/>
      <c r="G23" s="23"/>
      <c r="H23" s="6"/>
    </row>
    <row r="24" ht="14.25" customHeight="1">
      <c r="A24" s="32" t="s">
        <v>51</v>
      </c>
      <c r="B24" s="32" t="s">
        <v>48</v>
      </c>
      <c r="C24" s="61">
        <v>0.25</v>
      </c>
      <c r="D24" s="34">
        <v>25.0</v>
      </c>
      <c r="E24" s="22">
        <f t="shared" si="3"/>
        <v>6.25</v>
      </c>
      <c r="F24" s="6"/>
      <c r="G24" s="23" t="s">
        <v>52</v>
      </c>
      <c r="H24" s="6"/>
    </row>
    <row r="25" ht="14.25" customHeight="1">
      <c r="A25" s="32" t="s">
        <v>53</v>
      </c>
      <c r="B25" s="32" t="s">
        <v>48</v>
      </c>
      <c r="C25" s="61">
        <v>0.5</v>
      </c>
      <c r="D25" s="34">
        <v>12.5</v>
      </c>
      <c r="E25" s="22">
        <f t="shared" si="3"/>
        <v>6.25</v>
      </c>
      <c r="F25" s="6"/>
      <c r="G25" s="23" t="s">
        <v>98</v>
      </c>
      <c r="H25" s="24"/>
    </row>
    <row r="26" ht="14.25" customHeight="1">
      <c r="A26" s="32" t="s">
        <v>55</v>
      </c>
      <c r="B26" s="32" t="s">
        <v>48</v>
      </c>
      <c r="C26" s="59">
        <f>(2*(1/12))*13</f>
        <v>2.166666667</v>
      </c>
      <c r="D26" s="34">
        <v>25.0</v>
      </c>
      <c r="E26" s="22">
        <f t="shared" si="3"/>
        <v>54.16666667</v>
      </c>
      <c r="F26" s="6"/>
      <c r="G26" s="23" t="s">
        <v>56</v>
      </c>
      <c r="H26" s="24"/>
    </row>
    <row r="27" ht="14.25" customHeight="1">
      <c r="A27" s="32" t="s">
        <v>57</v>
      </c>
      <c r="B27" s="32" t="s">
        <v>48</v>
      </c>
      <c r="C27" s="59">
        <v>1.0</v>
      </c>
      <c r="D27" s="34">
        <v>12.5</v>
      </c>
      <c r="E27" s="22">
        <f t="shared" si="3"/>
        <v>12.5</v>
      </c>
      <c r="F27" s="6"/>
      <c r="G27" s="23" t="s">
        <v>58</v>
      </c>
      <c r="H27" s="6"/>
    </row>
    <row r="28" ht="14.25" customHeight="1">
      <c r="A28" s="19" t="s">
        <v>59</v>
      </c>
      <c r="B28" s="32" t="s">
        <v>48</v>
      </c>
      <c r="C28" s="59">
        <v>1.0</v>
      </c>
      <c r="D28" s="34">
        <v>25.0</v>
      </c>
      <c r="E28" s="22">
        <f t="shared" si="3"/>
        <v>25</v>
      </c>
      <c r="F28" s="6"/>
      <c r="G28" s="23" t="s">
        <v>60</v>
      </c>
      <c r="H28" s="6"/>
    </row>
    <row r="29" ht="14.25" customHeight="1">
      <c r="A29" s="19" t="s">
        <v>61</v>
      </c>
      <c r="B29" s="32" t="s">
        <v>48</v>
      </c>
      <c r="C29" s="59">
        <v>40.0</v>
      </c>
      <c r="D29" s="34">
        <v>15.0</v>
      </c>
      <c r="E29" s="22">
        <f t="shared" si="3"/>
        <v>600</v>
      </c>
      <c r="F29" s="6"/>
      <c r="G29" s="23" t="s">
        <v>62</v>
      </c>
      <c r="H29" s="6"/>
    </row>
    <row r="30" ht="14.25" customHeight="1">
      <c r="A30" s="19" t="s">
        <v>63</v>
      </c>
      <c r="B30" s="32" t="s">
        <v>64</v>
      </c>
      <c r="C30" s="58">
        <f>1/12</f>
        <v>0.08333333333</v>
      </c>
      <c r="D30" s="34">
        <v>83.0</v>
      </c>
      <c r="E30" s="22">
        <f t="shared" si="3"/>
        <v>6.916666667</v>
      </c>
      <c r="F30" s="6"/>
      <c r="G30" s="23"/>
      <c r="H30" s="6"/>
    </row>
    <row r="31" ht="14.25" customHeight="1">
      <c r="A31" s="19" t="s">
        <v>65</v>
      </c>
      <c r="B31" s="32" t="s">
        <v>48</v>
      </c>
      <c r="C31" s="58">
        <f>((13)*7)*(1/20)</f>
        <v>4.55</v>
      </c>
      <c r="D31" s="34">
        <v>15.0</v>
      </c>
      <c r="E31" s="22">
        <f t="shared" si="3"/>
        <v>68.25</v>
      </c>
      <c r="F31" s="6"/>
      <c r="G31" s="23" t="s">
        <v>66</v>
      </c>
      <c r="H31" s="24"/>
    </row>
    <row r="32" ht="14.25" customHeight="1">
      <c r="A32" s="19" t="s">
        <v>67</v>
      </c>
      <c r="B32" s="32" t="s">
        <v>68</v>
      </c>
      <c r="C32" s="59">
        <f>(18*24)/20</f>
        <v>21.6</v>
      </c>
      <c r="D32" s="34">
        <v>0.65</v>
      </c>
      <c r="E32" s="22">
        <f t="shared" si="3"/>
        <v>14.04</v>
      </c>
      <c r="F32" s="6"/>
      <c r="G32" s="23" t="s">
        <v>69</v>
      </c>
      <c r="H32" s="6"/>
    </row>
    <row r="33" ht="14.25" customHeight="1">
      <c r="A33" s="32" t="s">
        <v>70</v>
      </c>
      <c r="B33" s="32" t="s">
        <v>71</v>
      </c>
      <c r="C33" s="58">
        <f>1/20</f>
        <v>0.05</v>
      </c>
      <c r="D33" s="34">
        <v>280.0</v>
      </c>
      <c r="E33" s="22">
        <f t="shared" si="3"/>
        <v>14</v>
      </c>
      <c r="F33" s="6"/>
      <c r="G33" s="7"/>
      <c r="H33" s="6"/>
    </row>
    <row r="34" ht="14.25" customHeight="1">
      <c r="A34" s="32" t="s">
        <v>72</v>
      </c>
      <c r="B34" s="32" t="s">
        <v>73</v>
      </c>
      <c r="C34" s="58"/>
      <c r="D34" s="34"/>
      <c r="E34" s="22">
        <f t="shared" si="3"/>
        <v>0</v>
      </c>
      <c r="F34" s="6"/>
      <c r="G34" s="23" t="s">
        <v>74</v>
      </c>
      <c r="H34" s="6"/>
    </row>
    <row r="35" ht="14.25" customHeight="1">
      <c r="A35" s="91" t="s">
        <v>75</v>
      </c>
      <c r="B35" s="50"/>
      <c r="C35" s="50"/>
      <c r="D35" s="63"/>
      <c r="E35" s="52">
        <f>SUM(E22:E34)</f>
        <v>844.8733333</v>
      </c>
      <c r="F35" s="6"/>
      <c r="G35" s="7"/>
      <c r="H35" s="6"/>
    </row>
    <row r="36" ht="14.25" customHeight="1">
      <c r="A36" s="92" t="s">
        <v>76</v>
      </c>
      <c r="B36" s="16"/>
      <c r="C36" s="16"/>
      <c r="D36" s="65"/>
      <c r="E36" s="22">
        <f>E18+E35</f>
        <v>1129.533333</v>
      </c>
      <c r="F36" s="6"/>
      <c r="G36" s="23"/>
      <c r="H36" s="6"/>
    </row>
    <row r="37" ht="14.25" customHeight="1">
      <c r="A37" s="93"/>
      <c r="B37" s="18"/>
      <c r="C37" s="18"/>
      <c r="D37" s="67"/>
      <c r="E37" s="22"/>
      <c r="F37" s="6"/>
      <c r="G37" s="23"/>
      <c r="H37" s="6"/>
    </row>
    <row r="38" ht="14.25" customHeight="1">
      <c r="A38" s="91" t="s">
        <v>77</v>
      </c>
      <c r="B38" s="50"/>
      <c r="C38" s="50"/>
      <c r="D38" s="63"/>
      <c r="E38" s="22">
        <f>E6-E18-E35</f>
        <v>-7.533333333</v>
      </c>
      <c r="F38" s="6"/>
      <c r="G38" s="7"/>
      <c r="H38" s="6"/>
    </row>
    <row r="39" ht="14.25" customHeight="1">
      <c r="A39" s="94"/>
      <c r="B39" s="69"/>
      <c r="C39" s="69"/>
      <c r="D39" s="70" t="s">
        <v>78</v>
      </c>
      <c r="E39" s="71"/>
      <c r="F39" s="6"/>
      <c r="G39" s="7"/>
      <c r="H39" s="6"/>
    </row>
    <row r="40" ht="14.25" customHeight="1">
      <c r="A40" s="93" t="s">
        <v>79</v>
      </c>
      <c r="B40" s="72" t="s">
        <v>80</v>
      </c>
      <c r="C40" s="73">
        <v>2.0</v>
      </c>
      <c r="D40" s="73">
        <v>5.33</v>
      </c>
      <c r="E40" s="74">
        <f>D40*1.5</f>
        <v>7.995</v>
      </c>
      <c r="F40" s="6"/>
      <c r="G40" s="7"/>
      <c r="H40" s="6"/>
    </row>
    <row r="41" ht="14.25" customHeight="1">
      <c r="A41" s="93" t="s">
        <v>81</v>
      </c>
      <c r="B41" s="75">
        <v>75.0</v>
      </c>
      <c r="C41" s="76">
        <f t="shared" ref="C41:E41" si="4">C$40*$B41-$E$36</f>
        <v>-979.5333333</v>
      </c>
      <c r="D41" s="76">
        <f t="shared" si="4"/>
        <v>-729.7833333</v>
      </c>
      <c r="E41" s="76">
        <f t="shared" si="4"/>
        <v>-529.9083333</v>
      </c>
      <c r="F41" s="6"/>
      <c r="G41" s="7"/>
      <c r="H41" s="6"/>
    </row>
    <row r="42" ht="14.25" customHeight="1">
      <c r="A42" s="93" t="s">
        <v>82</v>
      </c>
      <c r="B42" s="75">
        <v>100.0</v>
      </c>
      <c r="C42" s="76">
        <f t="shared" ref="C42:E42" si="5">C$40*$B42-$E$36</f>
        <v>-929.5333333</v>
      </c>
      <c r="D42" s="76">
        <f t="shared" si="5"/>
        <v>-596.5333333</v>
      </c>
      <c r="E42" s="76">
        <f t="shared" si="5"/>
        <v>-330.0333333</v>
      </c>
      <c r="F42" s="6"/>
      <c r="G42" s="23"/>
      <c r="H42" s="6"/>
    </row>
    <row r="43" ht="14.25" customHeight="1">
      <c r="A43" s="95"/>
      <c r="B43" s="78">
        <v>125.0</v>
      </c>
      <c r="C43" s="79">
        <f t="shared" ref="C43:E43" si="6">C$40*$B43-$E$36</f>
        <v>-879.5333333</v>
      </c>
      <c r="D43" s="79">
        <f t="shared" si="6"/>
        <v>-463.2833333</v>
      </c>
      <c r="E43" s="79">
        <f t="shared" si="6"/>
        <v>-130.1583333</v>
      </c>
      <c r="F43" s="6"/>
      <c r="G43" s="23" t="s">
        <v>99</v>
      </c>
      <c r="H43" s="6"/>
    </row>
    <row r="44" ht="14.25" customHeight="1">
      <c r="A44" s="7"/>
      <c r="B44" s="6"/>
      <c r="C44" s="6"/>
      <c r="D44" s="6"/>
      <c r="E44" s="6"/>
      <c r="F44" s="6"/>
      <c r="G44" s="7"/>
      <c r="H44" s="6"/>
    </row>
    <row r="45" ht="14.25" customHeight="1">
      <c r="A45" s="7"/>
      <c r="B45" s="6"/>
      <c r="C45" s="6"/>
      <c r="D45" s="6"/>
      <c r="E45" s="6"/>
      <c r="F45" s="6"/>
      <c r="G45" s="7"/>
      <c r="H45" s="6"/>
    </row>
    <row r="46" ht="14.25" customHeight="1">
      <c r="A46" s="96"/>
      <c r="B46" s="6"/>
      <c r="C46" s="6"/>
      <c r="D46" s="6"/>
      <c r="E46" s="6"/>
      <c r="F46" s="6"/>
      <c r="G46" s="96" t="s">
        <v>84</v>
      </c>
      <c r="H46" s="6"/>
    </row>
    <row r="47" ht="14.25" customHeight="1">
      <c r="A47" s="7"/>
      <c r="B47" s="6"/>
      <c r="C47" s="6"/>
      <c r="D47" s="6"/>
      <c r="E47" s="6"/>
      <c r="F47" s="6"/>
      <c r="G47" s="7" t="s">
        <v>85</v>
      </c>
      <c r="H47" s="6"/>
    </row>
    <row r="48" ht="14.25" customHeight="1">
      <c r="A48" s="7"/>
      <c r="B48" s="6"/>
      <c r="C48" s="6"/>
      <c r="D48" s="6"/>
      <c r="E48" s="6"/>
      <c r="F48" s="6"/>
      <c r="G48" s="7" t="s">
        <v>86</v>
      </c>
      <c r="H48" s="6"/>
    </row>
    <row r="49" ht="14.25" customHeight="1">
      <c r="A49" s="7"/>
      <c r="B49" s="6"/>
      <c r="C49" s="6"/>
      <c r="D49" s="6"/>
      <c r="E49" s="6"/>
      <c r="F49" s="6"/>
      <c r="G49" s="7"/>
      <c r="H49" s="6"/>
    </row>
    <row r="50" ht="14.25" customHeight="1">
      <c r="A50" s="7"/>
      <c r="B50" s="6"/>
      <c r="C50" s="6"/>
      <c r="D50" s="6"/>
      <c r="E50" s="6"/>
      <c r="F50" s="6"/>
      <c r="G50" s="7"/>
      <c r="H50" s="6"/>
    </row>
    <row r="51" ht="14.25" customHeight="1">
      <c r="A51" s="96"/>
      <c r="B51" s="6"/>
      <c r="C51" s="6"/>
      <c r="D51" s="6"/>
      <c r="E51" s="6"/>
      <c r="F51" s="6"/>
      <c r="G51" s="96" t="s">
        <v>87</v>
      </c>
      <c r="H51" s="6"/>
    </row>
    <row r="52" ht="14.25" customHeight="1">
      <c r="A52" s="23"/>
      <c r="B52" s="6"/>
      <c r="C52" s="6"/>
      <c r="D52" s="6"/>
      <c r="E52" s="6"/>
      <c r="F52" s="6"/>
      <c r="G52" s="23" t="s">
        <v>99</v>
      </c>
      <c r="H52" s="6"/>
    </row>
    <row r="53" ht="14.25" customHeight="1">
      <c r="A53" s="23"/>
      <c r="B53" s="6"/>
      <c r="C53" s="6"/>
      <c r="D53" s="6"/>
      <c r="E53" s="6"/>
      <c r="F53" s="6"/>
      <c r="G53" s="23" t="s">
        <v>100</v>
      </c>
      <c r="H53" s="6"/>
    </row>
    <row r="54" ht="14.25" customHeight="1">
      <c r="A54" s="23"/>
      <c r="B54" s="6"/>
      <c r="C54" s="6"/>
      <c r="D54" s="6"/>
      <c r="E54" s="6"/>
      <c r="F54" s="6"/>
      <c r="G54" s="23" t="s">
        <v>89</v>
      </c>
      <c r="H54" s="6"/>
    </row>
    <row r="55" ht="14.25" customHeight="1">
      <c r="A55" s="7"/>
      <c r="B55" s="6"/>
      <c r="C55" s="6"/>
      <c r="D55" s="6"/>
      <c r="E55" s="6"/>
      <c r="F55" s="6"/>
      <c r="G55" s="7"/>
      <c r="H55" s="6"/>
    </row>
    <row r="56" ht="14.25" customHeight="1">
      <c r="A56" s="7"/>
      <c r="B56" s="6"/>
      <c r="C56" s="6"/>
      <c r="D56" s="6"/>
      <c r="E56" s="6"/>
      <c r="F56" s="6"/>
      <c r="G56" s="7"/>
      <c r="H56" s="6"/>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2017-03-20T20:38:53Z</dcterms:created>
  <dc:creator>Neith G. Little</dc:creator>
</cp:coreProperties>
</file>