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cathydyoung/Documents/CITRUS/"/>
    </mc:Choice>
  </mc:AlternateContent>
  <bookViews>
    <workbookView xWindow="640" yWindow="1180" windowWidth="28160" windowHeight="16820" tabRatio="500"/>
  </bookViews>
  <sheets>
    <sheet name="Sheet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B17" i="1"/>
  <c r="C23" i="1"/>
  <c r="P20" i="1"/>
  <c r="Q20" i="1"/>
  <c r="P6" i="1"/>
  <c r="Q6" i="1"/>
  <c r="B9" i="1"/>
  <c r="Q9" i="1"/>
  <c r="Q10" i="1"/>
  <c r="Q11" i="1"/>
  <c r="Q12" i="1"/>
  <c r="Q13" i="1"/>
  <c r="G14" i="1"/>
  <c r="H14" i="1"/>
  <c r="I14" i="1"/>
  <c r="J14" i="1"/>
  <c r="K14" i="1"/>
  <c r="L14" i="1"/>
  <c r="M14" i="1"/>
  <c r="N14" i="1"/>
  <c r="O14" i="1"/>
  <c r="P14" i="1"/>
  <c r="Q14" i="1"/>
  <c r="Q17" i="1"/>
  <c r="P9" i="1"/>
  <c r="P10" i="1"/>
  <c r="P11" i="1"/>
  <c r="P12" i="1"/>
  <c r="P13" i="1"/>
  <c r="P17" i="1"/>
  <c r="O9" i="1"/>
  <c r="O10" i="1"/>
  <c r="O11" i="1"/>
  <c r="O12" i="1"/>
  <c r="O13" i="1"/>
  <c r="O17" i="1"/>
  <c r="N9" i="1"/>
  <c r="N10" i="1"/>
  <c r="N11" i="1"/>
  <c r="N12" i="1"/>
  <c r="N13" i="1"/>
  <c r="N17" i="1"/>
  <c r="M9" i="1"/>
  <c r="M10" i="1"/>
  <c r="M11" i="1"/>
  <c r="M12" i="1"/>
  <c r="M13" i="1"/>
  <c r="M17" i="1"/>
  <c r="L9" i="1"/>
  <c r="L10" i="1"/>
  <c r="L11" i="1"/>
  <c r="L12" i="1"/>
  <c r="L13" i="1"/>
  <c r="L17" i="1"/>
  <c r="K9" i="1"/>
  <c r="K10" i="1"/>
  <c r="K11" i="1"/>
  <c r="K12" i="1"/>
  <c r="K13" i="1"/>
  <c r="K17" i="1"/>
  <c r="J9" i="1"/>
  <c r="J10" i="1"/>
  <c r="J11" i="1"/>
  <c r="J12" i="1"/>
  <c r="J13" i="1"/>
  <c r="J17" i="1"/>
  <c r="I9" i="1"/>
  <c r="I10" i="1"/>
  <c r="I11" i="1"/>
  <c r="I12" i="1"/>
  <c r="I13" i="1"/>
  <c r="I17" i="1"/>
  <c r="H17" i="1"/>
  <c r="G17" i="1"/>
  <c r="F17" i="1"/>
  <c r="S14" i="1"/>
  <c r="H10" i="1"/>
  <c r="H11" i="1"/>
  <c r="G10" i="1"/>
  <c r="G11" i="1"/>
  <c r="F11" i="1"/>
  <c r="C11" i="1"/>
  <c r="B10" i="1"/>
  <c r="C1" i="1"/>
</calcChain>
</file>

<file path=xl/sharedStrings.xml><?xml version="1.0" encoding="utf-8"?>
<sst xmlns="http://schemas.openxmlformats.org/spreadsheetml/2006/main" count="64" uniqueCount="63">
  <si>
    <t>NEW SITE (5 ACRES)</t>
  </si>
  <si>
    <t>Expected Yield / total</t>
  </si>
  <si>
    <t>tree age: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</si>
  <si>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</si>
  <si>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</si>
  <si>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</si>
  <si>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</si>
  <si>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</si>
  <si>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</si>
  <si>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</si>
  <si>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</si>
  <si>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</si>
  <si>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</si>
  <si>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</si>
  <si>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Variety</t>
  </si>
  <si>
    <t>#trees</t>
  </si>
  <si>
    <t>date.plt</t>
  </si>
  <si>
    <t>HSY age:</t>
  </si>
  <si>
    <t>in row  X</t>
  </si>
  <si>
    <t>between rows</t>
  </si>
  <si>
    <t>Tree spacing:</t>
  </si>
  <si>
    <t>expected total Yield / tree**</t>
  </si>
  <si>
    <t>UF Yield Estimates: &gt;&gt;</t>
  </si>
  <si>
    <t>PRICE/LBS:</t>
  </si>
  <si>
    <t>max out due to closer tree spacing (instead of 365lb/tree)</t>
  </si>
  <si>
    <t>April 9, 2021 Planting:</t>
  </si>
  <si>
    <t>#1 Yield totals/year</t>
  </si>
  <si>
    <t xml:space="preserve">tree cost </t>
  </si>
  <si>
    <t>plant 4/9/21</t>
  </si>
  <si>
    <t>growth year:</t>
  </si>
  <si>
    <t>trees/A</t>
  </si>
  <si>
    <t>SPECIALTY</t>
  </si>
  <si>
    <t>GROSS $:</t>
  </si>
  <si>
    <t xml:space="preserve"> - harvest cost (/lb)</t>
  </si>
  <si>
    <t>GROSS - HARVEST Return</t>
  </si>
  <si>
    <t>total maintenance 10yr</t>
  </si>
  <si>
    <t>acres:</t>
  </si>
  <si>
    <t># trees</t>
  </si>
  <si>
    <t xml:space="preserve"> - total yearly exp / grove care:</t>
  </si>
  <si>
    <t>Total Set Cost with Land:</t>
  </si>
  <si>
    <t xml:space="preserve">net$ </t>
  </si>
  <si>
    <t>estimated</t>
  </si>
  <si>
    <t>MARKET</t>
  </si>
  <si>
    <t>$/lb fruit</t>
  </si>
  <si>
    <t>Wholesale</t>
  </si>
  <si>
    <t>Organic</t>
  </si>
  <si>
    <t xml:space="preserve">Total Establishment Cost = </t>
  </si>
  <si>
    <t>Jpremium Restaurant</t>
  </si>
  <si>
    <t>Variety:</t>
  </si>
  <si>
    <t>number trees:</t>
  </si>
  <si>
    <t>CSA **</t>
  </si>
  <si>
    <t>Cara Cara</t>
  </si>
  <si>
    <t>Food as Medicine</t>
  </si>
  <si>
    <t>Shiranui</t>
  </si>
  <si>
    <t>Lime</t>
  </si>
  <si>
    <t>lemons</t>
  </si>
  <si>
    <t>Grapefruit</t>
  </si>
  <si>
    <t>Page Mandarin</t>
  </si>
  <si>
    <t>Honeybell</t>
  </si>
  <si>
    <t>Finger limes</t>
  </si>
  <si>
    <t>Blood oranges</t>
  </si>
  <si>
    <t>total:</t>
  </si>
  <si>
    <t>** Community-Supported Agriculture (box subscriptions)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</si>
</sst>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 indent="1"/>
    </xf>
    <xf numFmtId="0" fontId="2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8" fontId="2" fillId="3" borderId="0" xfId="0" applyNumberFormat="1" applyFont="1" applyFill="1" applyAlignment="1">
      <alignment horizontal="center"/>
    </xf>
    <xf numFmtId="0" fontId="5" fillId="0" borderId="0" xfId="0" applyFont="1"/>
    <xf numFmtId="0" fontId="5" fillId="4" borderId="0" xfId="0" applyFont="1" applyFill="1"/>
    <xf numFmtId="0" fontId="3" fillId="0" borderId="0" xfId="0" applyFont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7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164" fontId="3" fillId="5" borderId="1" xfId="0" applyNumberFormat="1" applyFont="1" applyFill="1" applyBorder="1"/>
    <xf numFmtId="165" fontId="3" fillId="5" borderId="1" xfId="1" applyNumberFormat="1" applyFont="1" applyFill="1" applyBorder="1"/>
    <xf numFmtId="44" fontId="2" fillId="6" borderId="0" xfId="2" applyFont="1" applyFill="1" applyAlignment="1">
      <alignment horizontal="right"/>
    </xf>
    <xf numFmtId="166" fontId="3" fillId="0" borderId="0" xfId="2" applyNumberFormat="1" applyFont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5" fillId="7" borderId="0" xfId="0" applyFont="1" applyFill="1"/>
    <xf numFmtId="0" fontId="3" fillId="7" borderId="0" xfId="0" applyFont="1" applyFill="1"/>
    <xf numFmtId="166" fontId="3" fillId="0" borderId="0" xfId="2" applyNumberFormat="1" applyFont="1"/>
    <xf numFmtId="164" fontId="2" fillId="0" borderId="0" xfId="0" applyNumberFormat="1" applyFont="1" applyAlignment="1">
      <alignment horizontal="center"/>
    </xf>
    <xf numFmtId="1" fontId="2" fillId="7" borderId="0" xfId="0" applyNumberFormat="1" applyFont="1" applyFill="1" applyAlignment="1">
      <alignment horizontal="center"/>
    </xf>
    <xf numFmtId="166" fontId="3" fillId="7" borderId="0" xfId="2" applyNumberFormat="1" applyFont="1" applyFill="1"/>
    <xf numFmtId="0" fontId="3" fillId="0" borderId="0" xfId="0" applyFont="1" applyAlignment="1">
      <alignment horizontal="left"/>
    </xf>
    <xf numFmtId="44" fontId="2" fillId="6" borderId="0" xfId="2" applyFont="1" applyFill="1"/>
    <xf numFmtId="165" fontId="3" fillId="0" borderId="0" xfId="1" applyNumberFormat="1" applyFont="1" applyAlignme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3" fillId="8" borderId="0" xfId="2" applyNumberFormat="1" applyFont="1" applyFill="1"/>
    <xf numFmtId="166" fontId="3" fillId="0" borderId="0" xfId="0" applyNumberFormat="1" applyFont="1"/>
    <xf numFmtId="165" fontId="2" fillId="7" borderId="0" xfId="1" applyNumberFormat="1" applyFont="1" applyFill="1" applyAlignment="1"/>
    <xf numFmtId="0" fontId="5" fillId="7" borderId="0" xfId="0" applyFont="1" applyFill="1" applyAlignment="1">
      <alignment horizontal="right"/>
    </xf>
    <xf numFmtId="166" fontId="3" fillId="7" borderId="0" xfId="0" applyNumberFormat="1" applyFont="1" applyFill="1" applyAlignment="1">
      <alignment horizontal="center"/>
    </xf>
    <xf numFmtId="166" fontId="3" fillId="9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166" fontId="5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164" fontId="5" fillId="9" borderId="0" xfId="0" applyNumberFormat="1" applyFont="1" applyFill="1"/>
    <xf numFmtId="166" fontId="5" fillId="0" borderId="0" xfId="0" applyNumberFormat="1" applyFont="1"/>
    <xf numFmtId="44" fontId="3" fillId="0" borderId="0" xfId="2" applyFont="1"/>
    <xf numFmtId="166" fontId="3" fillId="0" borderId="0" xfId="0" applyNumberFormat="1" applyFont="1" applyAlignment="1">
      <alignment horizontal="center"/>
    </xf>
    <xf numFmtId="0" fontId="2" fillId="7" borderId="0" xfId="0" applyFont="1" applyFill="1" applyAlignment="1">
      <alignment horizontal="right"/>
    </xf>
    <xf numFmtId="166" fontId="2" fillId="7" borderId="0" xfId="0" applyNumberFormat="1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hydyoung/iCloud%20Drive%20(Archive)%20-%201/Documents/CITRUS/SQUEEZE%20CITRUS%20GROVE%203.14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olidge"/>
      <sheetName val="incremental $"/>
      <sheetName val="SQUEEZE"/>
      <sheetName val="Flags"/>
      <sheetName val="DeFenders"/>
      <sheetName val="Var Harvests"/>
      <sheetName val="Var Char"/>
      <sheetName val="Var Source"/>
      <sheetName val="CoolidgeExp"/>
      <sheetName val="calculations"/>
      <sheetName val="Chemicals"/>
      <sheetName val="Transplant"/>
      <sheetName val="UGA SAP 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D29">
            <v>275322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125" zoomScaleNormal="125" zoomScalePageLayoutView="125" workbookViewId="0">
      <selection activeCell="K35" sqref="K35"/>
    </sheetView>
  </sheetViews>
  <sheetFormatPr baseColWidth="10" defaultColWidth="8.83203125" defaultRowHeight="12" x14ac:dyDescent="0.15"/>
  <cols>
    <col min="1" max="1" width="14.5" style="2" customWidth="1"/>
    <col min="2" max="2" width="12" style="2" customWidth="1"/>
    <col min="3" max="3" width="9.5" style="5" customWidth="1"/>
    <col min="4" max="4" width="9" style="2" customWidth="1"/>
    <col min="5" max="5" width="14.1640625" style="2" customWidth="1"/>
    <col min="6" max="6" width="9.5" style="2" customWidth="1"/>
    <col min="7" max="7" width="10.33203125" style="2" customWidth="1"/>
    <col min="8" max="8" width="10" style="2" customWidth="1"/>
    <col min="9" max="13" width="10.83203125" style="2" customWidth="1"/>
    <col min="14" max="15" width="11" style="2" customWidth="1"/>
    <col min="16" max="16" width="11.83203125" style="2" customWidth="1"/>
    <col min="17" max="17" width="9.83203125" style="2" customWidth="1"/>
    <col min="18" max="16384" width="8.83203125" style="2"/>
  </cols>
  <sheetData>
    <row r="1" spans="1:19" x14ac:dyDescent="0.15">
      <c r="A1" s="1" t="s">
        <v>0</v>
      </c>
      <c r="C1" s="3">
        <f ca="1">TODAY()</f>
        <v>44861</v>
      </c>
      <c r="H1" s="4" t="s">
        <v>1</v>
      </c>
    </row>
    <row r="2" spans="1:19" x14ac:dyDescent="0.15">
      <c r="E2" s="6" t="s">
        <v>2</v>
      </c>
      <c r="F2" s="5"/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</row>
    <row r="3" spans="1:19" s="7" customFormat="1" x14ac:dyDescent="0.15">
      <c r="A3" s="7" t="s">
        <v>14</v>
      </c>
      <c r="B3" s="8" t="s">
        <v>15</v>
      </c>
      <c r="C3" s="9" t="s">
        <v>16</v>
      </c>
      <c r="D3" s="9"/>
      <c r="E3" s="9"/>
      <c r="F3" s="7">
        <v>2020</v>
      </c>
      <c r="G3" s="7">
        <v>2021</v>
      </c>
      <c r="H3" s="7">
        <v>2022</v>
      </c>
      <c r="I3" s="7">
        <v>2023</v>
      </c>
      <c r="J3" s="7">
        <v>2024</v>
      </c>
      <c r="K3" s="7">
        <v>2025</v>
      </c>
      <c r="L3" s="7">
        <v>2026</v>
      </c>
      <c r="M3" s="7">
        <v>2027</v>
      </c>
      <c r="N3" s="7">
        <v>2028</v>
      </c>
      <c r="O3" s="7">
        <v>2029</v>
      </c>
      <c r="P3" s="7">
        <v>2030</v>
      </c>
      <c r="Q3" s="7">
        <v>2030</v>
      </c>
    </row>
    <row r="4" spans="1:19" s="10" customFormat="1" x14ac:dyDescent="0.15">
      <c r="B4" s="8"/>
      <c r="C4" s="9"/>
      <c r="D4" s="9"/>
      <c r="E4" s="9" t="s">
        <v>17</v>
      </c>
      <c r="F4" s="7">
        <v>63</v>
      </c>
      <c r="G4" s="7">
        <v>64</v>
      </c>
      <c r="H4" s="7">
        <v>65</v>
      </c>
      <c r="I4" s="7">
        <v>66</v>
      </c>
      <c r="J4" s="7">
        <v>67</v>
      </c>
      <c r="K4" s="7">
        <v>68</v>
      </c>
      <c r="L4" s="7">
        <v>69</v>
      </c>
      <c r="M4" s="7">
        <v>70</v>
      </c>
      <c r="N4" s="7">
        <v>71</v>
      </c>
      <c r="O4" s="7">
        <v>72</v>
      </c>
      <c r="P4" s="7">
        <v>73</v>
      </c>
      <c r="Q4" s="7">
        <v>73</v>
      </c>
    </row>
    <row r="5" spans="1:19" s="10" customFormat="1" x14ac:dyDescent="0.15">
      <c r="B5" s="8" t="s">
        <v>18</v>
      </c>
      <c r="C5" s="8" t="s">
        <v>19</v>
      </c>
      <c r="D5" s="9"/>
      <c r="E5" s="9"/>
      <c r="K5" s="11"/>
    </row>
    <row r="6" spans="1:19" s="5" customFormat="1" x14ac:dyDescent="0.15">
      <c r="A6" s="5" t="s">
        <v>20</v>
      </c>
      <c r="B6" s="12">
        <v>7.7</v>
      </c>
      <c r="C6" s="12">
        <v>22</v>
      </c>
      <c r="D6" s="13" t="s">
        <v>21</v>
      </c>
      <c r="E6" s="7"/>
      <c r="H6" s="14" t="s">
        <v>22</v>
      </c>
      <c r="I6" s="15">
        <v>20</v>
      </c>
      <c r="J6" s="5">
        <v>60</v>
      </c>
      <c r="K6" s="15">
        <v>110</v>
      </c>
      <c r="L6" s="15">
        <v>164</v>
      </c>
      <c r="M6" s="15">
        <v>219</v>
      </c>
      <c r="N6" s="15">
        <v>238</v>
      </c>
      <c r="O6" s="15">
        <v>256</v>
      </c>
      <c r="P6" s="15">
        <f>O6*1.1</f>
        <v>281.60000000000002</v>
      </c>
      <c r="Q6" s="15">
        <f>P6*1.1</f>
        <v>309.76000000000005</v>
      </c>
      <c r="R6" s="15"/>
    </row>
    <row r="7" spans="1:19" x14ac:dyDescent="0.15">
      <c r="B7" s="16"/>
      <c r="F7" s="17" t="s">
        <v>23</v>
      </c>
      <c r="G7" s="18">
        <v>1</v>
      </c>
      <c r="K7" s="19" t="s">
        <v>24</v>
      </c>
    </row>
    <row r="8" spans="1:19" x14ac:dyDescent="0.15">
      <c r="A8" s="20" t="s">
        <v>25</v>
      </c>
      <c r="B8" s="16"/>
      <c r="F8" s="21" t="s">
        <v>26</v>
      </c>
      <c r="G8" s="21"/>
      <c r="H8" s="21"/>
      <c r="I8" s="21"/>
      <c r="J8" s="21"/>
      <c r="K8" s="21"/>
      <c r="L8" s="21"/>
      <c r="M8" s="21"/>
    </row>
    <row r="9" spans="1:19" s="24" customFormat="1" x14ac:dyDescent="0.15">
      <c r="A9" s="14" t="s">
        <v>27</v>
      </c>
      <c r="B9" s="22">
        <f>B15</f>
        <v>1352</v>
      </c>
      <c r="C9" s="23"/>
      <c r="E9" s="25"/>
      <c r="G9" s="26" t="s">
        <v>28</v>
      </c>
      <c r="H9" s="26" t="s">
        <v>29</v>
      </c>
      <c r="I9" s="26">
        <f t="shared" ref="I9:Q9" si="0">I6*$B$9</f>
        <v>27040</v>
      </c>
      <c r="J9" s="26">
        <f t="shared" si="0"/>
        <v>81120</v>
      </c>
      <c r="K9" s="26">
        <f t="shared" si="0"/>
        <v>148720</v>
      </c>
      <c r="L9" s="26">
        <f t="shared" si="0"/>
        <v>221728</v>
      </c>
      <c r="M9" s="26">
        <f t="shared" si="0"/>
        <v>296088</v>
      </c>
      <c r="N9" s="26">
        <f t="shared" si="0"/>
        <v>321776</v>
      </c>
      <c r="O9" s="26">
        <f t="shared" si="0"/>
        <v>346112</v>
      </c>
      <c r="P9" s="26">
        <f t="shared" si="0"/>
        <v>380723.20000000001</v>
      </c>
      <c r="Q9" s="26">
        <f t="shared" si="0"/>
        <v>418795.52000000008</v>
      </c>
    </row>
    <row r="10" spans="1:19" x14ac:dyDescent="0.15">
      <c r="A10" s="27">
        <v>18</v>
      </c>
      <c r="B10" s="28">
        <f>A10*B9</f>
        <v>24336</v>
      </c>
      <c r="C10" s="29" t="s">
        <v>30</v>
      </c>
      <c r="D10" s="30" t="s">
        <v>31</v>
      </c>
      <c r="E10" s="31"/>
      <c r="F10" s="32"/>
      <c r="G10" s="32">
        <f>SUM(G9:G9)</f>
        <v>0</v>
      </c>
      <c r="H10" s="32">
        <f>SUM(H9:H9)</f>
        <v>0</v>
      </c>
      <c r="I10" s="32">
        <f>I9*$G$7</f>
        <v>27040</v>
      </c>
      <c r="J10" s="32">
        <f>J9*$G$7</f>
        <v>81120</v>
      </c>
      <c r="K10" s="32">
        <f t="shared" ref="K10:Q10" si="1">K9*$G$7</f>
        <v>148720</v>
      </c>
      <c r="L10" s="32">
        <f t="shared" si="1"/>
        <v>221728</v>
      </c>
      <c r="M10" s="32">
        <f t="shared" si="1"/>
        <v>296088</v>
      </c>
      <c r="N10" s="32">
        <f t="shared" si="1"/>
        <v>321776</v>
      </c>
      <c r="O10" s="32">
        <f t="shared" si="1"/>
        <v>346112</v>
      </c>
      <c r="P10" s="32">
        <f t="shared" si="1"/>
        <v>380723.20000000001</v>
      </c>
      <c r="Q10" s="32">
        <f t="shared" si="1"/>
        <v>418795.52000000008</v>
      </c>
    </row>
    <row r="11" spans="1:19" x14ac:dyDescent="0.15">
      <c r="A11" s="14"/>
      <c r="B11" s="33"/>
      <c r="C11" s="34">
        <f>43560/(B6*C6)</f>
        <v>257.14285714285711</v>
      </c>
      <c r="D11" s="30"/>
      <c r="E11" s="31" t="s">
        <v>32</v>
      </c>
      <c r="F11" s="35">
        <f>SUM(F10:F10)</f>
        <v>0</v>
      </c>
      <c r="G11" s="35">
        <f>SUM(G10:G10)</f>
        <v>0</v>
      </c>
      <c r="H11" s="35">
        <f>SUM(H10:H10)</f>
        <v>0</v>
      </c>
      <c r="I11" s="35">
        <f>SUM(I10:I10)</f>
        <v>27040</v>
      </c>
      <c r="J11" s="35">
        <f t="shared" ref="J11:Q11" si="2">SUM(J10:J10)</f>
        <v>81120</v>
      </c>
      <c r="K11" s="35">
        <f t="shared" si="2"/>
        <v>148720</v>
      </c>
      <c r="L11" s="35">
        <f t="shared" si="2"/>
        <v>221728</v>
      </c>
      <c r="M11" s="35">
        <f t="shared" si="2"/>
        <v>296088</v>
      </c>
      <c r="N11" s="35">
        <f t="shared" si="2"/>
        <v>321776</v>
      </c>
      <c r="O11" s="35">
        <f t="shared" si="2"/>
        <v>346112</v>
      </c>
      <c r="P11" s="35">
        <f t="shared" si="2"/>
        <v>380723.20000000001</v>
      </c>
      <c r="Q11" s="35">
        <f t="shared" si="2"/>
        <v>418795.52000000008</v>
      </c>
    </row>
    <row r="12" spans="1:19" x14ac:dyDescent="0.15">
      <c r="D12" s="36" t="s">
        <v>33</v>
      </c>
      <c r="E12" s="36"/>
      <c r="F12" s="37">
        <v>0.2</v>
      </c>
      <c r="G12" s="32"/>
      <c r="H12" s="32"/>
      <c r="I12" s="32">
        <f>I10*-$F$12</f>
        <v>-5408</v>
      </c>
      <c r="J12" s="32">
        <f>J10*-$F$12</f>
        <v>-16224</v>
      </c>
      <c r="K12" s="32">
        <f t="shared" ref="K12:Q12" si="3">K10*-$F$12</f>
        <v>-29744</v>
      </c>
      <c r="L12" s="32">
        <f t="shared" si="3"/>
        <v>-44345.600000000006</v>
      </c>
      <c r="M12" s="32">
        <f t="shared" si="3"/>
        <v>-59217.600000000006</v>
      </c>
      <c r="N12" s="32">
        <f t="shared" si="3"/>
        <v>-64355.200000000004</v>
      </c>
      <c r="O12" s="32">
        <f t="shared" si="3"/>
        <v>-69222.400000000009</v>
      </c>
      <c r="P12" s="32">
        <f t="shared" si="3"/>
        <v>-76144.639999999999</v>
      </c>
      <c r="Q12" s="32">
        <f t="shared" si="3"/>
        <v>-83759.104000000021</v>
      </c>
    </row>
    <row r="13" spans="1:19" x14ac:dyDescent="0.15">
      <c r="B13" s="38"/>
      <c r="D13" s="39" t="s">
        <v>34</v>
      </c>
      <c r="F13" s="35"/>
      <c r="G13" s="35"/>
      <c r="H13" s="35"/>
      <c r="I13" s="35">
        <f t="shared" ref="I13:O13" si="4">SUM(I11:I12)</f>
        <v>21632</v>
      </c>
      <c r="J13" s="35">
        <f t="shared" si="4"/>
        <v>64896</v>
      </c>
      <c r="K13" s="35">
        <f t="shared" si="4"/>
        <v>118976</v>
      </c>
      <c r="L13" s="35">
        <f t="shared" si="4"/>
        <v>177382.39999999999</v>
      </c>
      <c r="M13" s="35">
        <f t="shared" si="4"/>
        <v>236870.39999999999</v>
      </c>
      <c r="N13" s="35">
        <f t="shared" si="4"/>
        <v>257420.79999999999</v>
      </c>
      <c r="O13" s="35">
        <f t="shared" si="4"/>
        <v>276889.59999999998</v>
      </c>
      <c r="P13" s="35">
        <f>SUM(P11:P12)</f>
        <v>304578.56</v>
      </c>
      <c r="Q13" s="35">
        <f>SUM(Q11:Q12)</f>
        <v>335036.41600000008</v>
      </c>
      <c r="S13" s="2" t="s">
        <v>35</v>
      </c>
    </row>
    <row r="14" spans="1:19" x14ac:dyDescent="0.15">
      <c r="A14" s="14" t="s">
        <v>36</v>
      </c>
      <c r="B14" s="40" t="s">
        <v>37</v>
      </c>
      <c r="C14" s="41"/>
      <c r="D14" s="39" t="s">
        <v>38</v>
      </c>
      <c r="E14" s="39"/>
      <c r="F14" s="32"/>
      <c r="G14" s="42">
        <f>-2642*12</f>
        <v>-31704</v>
      </c>
      <c r="H14" s="32">
        <f t="shared" ref="H14:Q14" si="5">G14*1.1</f>
        <v>-34874.400000000001</v>
      </c>
      <c r="I14" s="32">
        <f t="shared" si="5"/>
        <v>-38361.840000000004</v>
      </c>
      <c r="J14" s="32">
        <f t="shared" si="5"/>
        <v>-42198.024000000005</v>
      </c>
      <c r="K14" s="32">
        <f t="shared" si="5"/>
        <v>-46417.826400000013</v>
      </c>
      <c r="L14" s="32">
        <f t="shared" si="5"/>
        <v>-51059.609040000018</v>
      </c>
      <c r="M14" s="32">
        <f t="shared" si="5"/>
        <v>-56165.569944000024</v>
      </c>
      <c r="N14" s="32">
        <f t="shared" si="5"/>
        <v>-61782.126938400033</v>
      </c>
      <c r="O14" s="32">
        <f t="shared" si="5"/>
        <v>-67960.339632240037</v>
      </c>
      <c r="P14" s="32">
        <f t="shared" si="5"/>
        <v>-74756.373595464043</v>
      </c>
      <c r="Q14" s="32">
        <f t="shared" si="5"/>
        <v>-82232.010955010453</v>
      </c>
      <c r="S14" s="43">
        <f>SUM(G14:R14)</f>
        <v>-587512.12050511455</v>
      </c>
    </row>
    <row r="15" spans="1:19" x14ac:dyDescent="0.15">
      <c r="A15" s="2">
        <v>5.5</v>
      </c>
      <c r="B15" s="44">
        <v>1352</v>
      </c>
      <c r="D15" s="39"/>
      <c r="E15" s="39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9" x14ac:dyDescent="0.15">
      <c r="B16" s="38"/>
      <c r="D16" s="39"/>
      <c r="E16" s="39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s="5" customFormat="1" x14ac:dyDescent="0.15">
      <c r="A17" s="45" t="s">
        <v>39</v>
      </c>
      <c r="B17" s="35">
        <f>-[1]CoolidgeExp!D29</f>
        <v>-275322</v>
      </c>
      <c r="D17" s="13" t="s">
        <v>40</v>
      </c>
      <c r="E17" s="7"/>
      <c r="F17" s="46">
        <f t="shared" ref="F17:Q17" si="6">SUM(F13:F16)</f>
        <v>0</v>
      </c>
      <c r="G17" s="46">
        <f t="shared" si="6"/>
        <v>-31704</v>
      </c>
      <c r="H17" s="46">
        <f t="shared" si="6"/>
        <v>-34874.400000000001</v>
      </c>
      <c r="I17" s="46">
        <f t="shared" si="6"/>
        <v>-16729.840000000004</v>
      </c>
      <c r="J17" s="47">
        <f t="shared" si="6"/>
        <v>22697.975999999995</v>
      </c>
      <c r="K17" s="46">
        <f t="shared" si="6"/>
        <v>72558.17359999998</v>
      </c>
      <c r="L17" s="47">
        <f t="shared" si="6"/>
        <v>126322.79095999998</v>
      </c>
      <c r="M17" s="46">
        <f t="shared" si="6"/>
        <v>180704.83005599998</v>
      </c>
      <c r="N17" s="46">
        <f t="shared" si="6"/>
        <v>195638.67306159995</v>
      </c>
      <c r="O17" s="46">
        <f t="shared" si="6"/>
        <v>208929.26036775994</v>
      </c>
      <c r="P17" s="46">
        <f t="shared" si="6"/>
        <v>229822.18640453595</v>
      </c>
      <c r="Q17" s="46">
        <f t="shared" si="6"/>
        <v>252804.40504498963</v>
      </c>
    </row>
    <row r="18" spans="1:17" x14ac:dyDescent="0.15">
      <c r="B18" s="43"/>
    </row>
    <row r="19" spans="1:17" s="19" customFormat="1" x14ac:dyDescent="0.15">
      <c r="C19" s="48"/>
      <c r="D19" s="49"/>
      <c r="F19" s="50" t="s">
        <v>41</v>
      </c>
      <c r="G19" s="2"/>
      <c r="H19" s="2"/>
      <c r="I19" s="51">
        <v>2023</v>
      </c>
      <c r="J19" s="51">
        <v>2024</v>
      </c>
      <c r="K19" s="51">
        <v>2025</v>
      </c>
      <c r="L19" s="51">
        <v>2026</v>
      </c>
      <c r="M19" s="51">
        <v>2027</v>
      </c>
      <c r="N19" s="51">
        <v>2028</v>
      </c>
      <c r="O19" s="51">
        <v>2029</v>
      </c>
      <c r="P19" s="51">
        <v>2030</v>
      </c>
      <c r="Q19" s="51">
        <v>2030</v>
      </c>
    </row>
    <row r="20" spans="1:17" s="19" customFormat="1" x14ac:dyDescent="0.15">
      <c r="B20" s="52"/>
      <c r="C20" s="48"/>
      <c r="D20" s="49"/>
      <c r="E20" s="19" t="s">
        <v>42</v>
      </c>
      <c r="F20" s="48" t="s">
        <v>43</v>
      </c>
      <c r="G20" s="53"/>
      <c r="H20" s="14" t="s">
        <v>22</v>
      </c>
      <c r="I20" s="51">
        <v>20</v>
      </c>
      <c r="J20" s="51">
        <v>60</v>
      </c>
      <c r="K20" s="51">
        <v>110</v>
      </c>
      <c r="L20" s="51">
        <v>164</v>
      </c>
      <c r="M20" s="51">
        <v>219</v>
      </c>
      <c r="N20" s="51">
        <v>238</v>
      </c>
      <c r="O20" s="51">
        <v>256</v>
      </c>
      <c r="P20" s="51">
        <f>O20*1.1</f>
        <v>281.60000000000002</v>
      </c>
      <c r="Q20" s="51">
        <f>P20*1.1</f>
        <v>309.76000000000005</v>
      </c>
    </row>
    <row r="21" spans="1:17" x14ac:dyDescent="0.15">
      <c r="B21" s="40"/>
      <c r="E21" s="2" t="s">
        <v>44</v>
      </c>
      <c r="F21" s="54">
        <v>0.6</v>
      </c>
      <c r="G21" s="43">
        <v>-31704</v>
      </c>
      <c r="H21" s="43">
        <v>-34874.400000000001</v>
      </c>
      <c r="I21" s="43">
        <v>-25382.640000000003</v>
      </c>
      <c r="J21" s="43">
        <v>-3260.4240000000063</v>
      </c>
      <c r="K21" s="43">
        <v>24967.773599999993</v>
      </c>
      <c r="L21" s="43">
        <v>55369.83095999997</v>
      </c>
      <c r="M21" s="43">
        <v>85956.670055999974</v>
      </c>
      <c r="N21" s="43">
        <v>92670.353061599977</v>
      </c>
      <c r="O21" s="43">
        <v>98173.420367759943</v>
      </c>
      <c r="P21" s="43">
        <v>107990.76240453596</v>
      </c>
      <c r="Q21" s="43">
        <v>118789.83864498956</v>
      </c>
    </row>
    <row r="22" spans="1:17" x14ac:dyDescent="0.15">
      <c r="E22" s="2" t="s">
        <v>45</v>
      </c>
      <c r="F22" s="54">
        <v>1</v>
      </c>
      <c r="G22" s="43">
        <v>-31704</v>
      </c>
      <c r="H22" s="43">
        <v>-34874.400000000001</v>
      </c>
      <c r="I22" s="43">
        <v>-16729.840000000004</v>
      </c>
      <c r="J22" s="43">
        <v>22697.975999999995</v>
      </c>
      <c r="K22" s="43">
        <v>72558.17359999998</v>
      </c>
      <c r="L22" s="43">
        <v>126322.79095999998</v>
      </c>
      <c r="M22" s="43">
        <v>180704.83005599998</v>
      </c>
      <c r="N22" s="55">
        <v>195638.67306159995</v>
      </c>
      <c r="O22" s="55">
        <v>208929.26036775994</v>
      </c>
      <c r="P22" s="43">
        <v>229822.18640453595</v>
      </c>
      <c r="Q22" s="43">
        <v>252804.40504498963</v>
      </c>
    </row>
    <row r="23" spans="1:17" x14ac:dyDescent="0.15">
      <c r="A23" s="56" t="s">
        <v>46</v>
      </c>
      <c r="B23" s="56"/>
      <c r="C23" s="57">
        <f>B17</f>
        <v>-275322</v>
      </c>
      <c r="E23" s="2" t="s">
        <v>47</v>
      </c>
      <c r="F23" s="54">
        <v>1.2</v>
      </c>
      <c r="G23" s="43">
        <v>-31704</v>
      </c>
      <c r="H23" s="43">
        <v>-34874.400000000001</v>
      </c>
      <c r="I23" s="43">
        <v>-12403.440000000002</v>
      </c>
      <c r="J23" s="43">
        <v>35677.175999999992</v>
      </c>
      <c r="K23" s="43">
        <v>96353.373599999992</v>
      </c>
      <c r="L23" s="43">
        <v>161799.27095999997</v>
      </c>
      <c r="M23" s="43">
        <v>228078.91005599996</v>
      </c>
      <c r="N23" s="43">
        <v>247122.83306159999</v>
      </c>
      <c r="O23" s="43">
        <v>264307.18036775989</v>
      </c>
      <c r="P23" s="43">
        <v>290737.89840453595</v>
      </c>
      <c r="Q23" s="43">
        <v>319811.68824498961</v>
      </c>
    </row>
    <row r="24" spans="1:17" x14ac:dyDescent="0.15">
      <c r="A24" s="4" t="s">
        <v>48</v>
      </c>
      <c r="B24" s="2" t="s">
        <v>49</v>
      </c>
      <c r="E24" s="2" t="s">
        <v>50</v>
      </c>
      <c r="F24" s="54">
        <v>1.5</v>
      </c>
      <c r="G24" s="43">
        <v>-31704</v>
      </c>
      <c r="H24" s="43">
        <v>-34874.400000000001</v>
      </c>
      <c r="I24" s="43">
        <v>-5913.8400000000038</v>
      </c>
      <c r="J24" s="43">
        <v>55145.975999999995</v>
      </c>
      <c r="K24" s="43">
        <v>132046.17359999998</v>
      </c>
      <c r="L24" s="43">
        <v>215013.99095999997</v>
      </c>
      <c r="M24" s="43">
        <v>299140.03005599993</v>
      </c>
      <c r="N24" s="43">
        <v>324349.07306159998</v>
      </c>
      <c r="O24" s="43">
        <v>347374.06036776002</v>
      </c>
      <c r="P24" s="43">
        <v>382111.46640453598</v>
      </c>
      <c r="Q24" s="43">
        <v>420322.61304498964</v>
      </c>
    </row>
    <row r="25" spans="1:17" x14ac:dyDescent="0.15">
      <c r="A25" s="2" t="s">
        <v>51</v>
      </c>
      <c r="B25" s="2">
        <v>200</v>
      </c>
      <c r="E25" s="2" t="s">
        <v>52</v>
      </c>
      <c r="F25" s="54">
        <v>2</v>
      </c>
      <c r="G25" s="43">
        <v>-31704</v>
      </c>
      <c r="H25" s="43">
        <v>-34874.400000000001</v>
      </c>
      <c r="I25" s="43">
        <v>4902.1599999999962</v>
      </c>
      <c r="J25" s="43">
        <v>87593.975999999995</v>
      </c>
      <c r="K25" s="43">
        <v>191534.17359999998</v>
      </c>
      <c r="L25" s="43">
        <v>303705.19095999998</v>
      </c>
      <c r="M25" s="43">
        <v>417575.23005599994</v>
      </c>
      <c r="N25" s="43">
        <v>453059.47306159994</v>
      </c>
      <c r="O25" s="43">
        <v>485818.86036775995</v>
      </c>
      <c r="P25" s="43">
        <v>534400.74640453595</v>
      </c>
      <c r="Q25" s="43">
        <v>587840.82104498975</v>
      </c>
    </row>
    <row r="26" spans="1:17" x14ac:dyDescent="0.15">
      <c r="A26" s="2" t="s">
        <v>53</v>
      </c>
      <c r="B26" s="2">
        <v>390</v>
      </c>
    </row>
    <row r="27" spans="1:17" x14ac:dyDescent="0.15">
      <c r="A27" s="2" t="s">
        <v>54</v>
      </c>
      <c r="B27" s="2">
        <v>50</v>
      </c>
    </row>
    <row r="28" spans="1:17" x14ac:dyDescent="0.15">
      <c r="A28" s="2" t="s">
        <v>55</v>
      </c>
      <c r="B28" s="2">
        <v>42</v>
      </c>
    </row>
    <row r="29" spans="1:17" x14ac:dyDescent="0.15">
      <c r="A29" s="2" t="s">
        <v>56</v>
      </c>
      <c r="B29" s="2">
        <v>295</v>
      </c>
    </row>
    <row r="30" spans="1:17" x14ac:dyDescent="0.15">
      <c r="A30" s="2" t="s">
        <v>57</v>
      </c>
      <c r="B30" s="2">
        <v>117</v>
      </c>
    </row>
    <row r="31" spans="1:17" x14ac:dyDescent="0.15">
      <c r="A31" s="2" t="s">
        <v>58</v>
      </c>
      <c r="B31" s="2">
        <v>100</v>
      </c>
    </row>
    <row r="32" spans="1:17" x14ac:dyDescent="0.15">
      <c r="A32" s="2" t="s">
        <v>59</v>
      </c>
      <c r="B32" s="2">
        <v>7</v>
      </c>
    </row>
    <row r="33" spans="1:2" s="2" customFormat="1" x14ac:dyDescent="0.15">
      <c r="A33" s="2" t="s">
        <v>60</v>
      </c>
      <c r="B33" s="2">
        <v>150</v>
      </c>
    </row>
    <row r="35" spans="1:2" s="2" customFormat="1" x14ac:dyDescent="0.15">
      <c r="A35" s="6" t="s">
        <v>61</v>
      </c>
      <c r="B35" s="2">
        <f>SUM(B25:B34)</f>
        <v>1351</v>
      </c>
    </row>
    <row r="38" spans="1:2" s="2" customFormat="1" x14ac:dyDescent="0.15">
      <c r="A38" s="2" t="s">
        <v>62</v>
      </c>
    </row>
  </sheetData>
  <mergeCells count="3">
    <mergeCell ref="F8:M8"/>
    <mergeCell ref="D12:E12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2022-10-27T14:24:28Z</dcterms:created>
  <dcterms:modified xsi:type="dcterms:W3CDTF">2022-10-27T14:25:46Z</dcterms:modified>
</cp:coreProperties>
</file>